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5" windowWidth="14805" windowHeight="7830" firstSheet="8" activeTab="9"/>
  </bookViews>
  <sheets>
    <sheet name="基本情况表" sheetId="1" r:id="rId1"/>
    <sheet name="部门统计" sheetId="2" r:id="rId2"/>
    <sheet name="年假规则表" sheetId="4" r:id="rId3"/>
    <sheet name="工资调整" sheetId="5" r:id="rId4"/>
    <sheet name="Sheet2" sheetId="13" r:id="rId5"/>
    <sheet name="Sheet1" sheetId="16" r:id="rId6"/>
    <sheet name="加班记录" sheetId="6" r:id="rId7"/>
    <sheet name="加班记录汇总" sheetId="14" r:id="rId8"/>
    <sheet name="请假记录" sheetId="7" r:id="rId9"/>
    <sheet name="个人所得税税率表" sheetId="8" r:id="rId10"/>
    <sheet name="透视表" sheetId="11" r:id="rId11"/>
    <sheet name="Sheet3" sheetId="17" r:id="rId12"/>
    <sheet name="工资明细表" sheetId="3" r:id="rId13"/>
    <sheet name="Sheet4" sheetId="15" r:id="rId14"/>
    <sheet name="工资条" sheetId="9" r:id="rId15"/>
  </sheets>
  <externalReferences>
    <externalReference r:id="rId16"/>
    <externalReference r:id="rId17"/>
  </externalReferences>
  <definedNames>
    <definedName name="财务部">基本情况表!$A$2:$G$5</definedName>
    <definedName name="财务部1">基本情况表!$A$2:$G$5</definedName>
    <definedName name="个税税率表">个人所得税税率表!$C$2:$F$8</definedName>
    <definedName name="工资表">工资明细表!$A$2:$P$16</definedName>
    <definedName name="工资调整">[1]工资调整!$A$3:$I$18</definedName>
    <definedName name="加班记录">加班记录!$A$2:$H$17</definedName>
    <definedName name="加班记录汇总">加班记录汇总!$A$1:$B$16</definedName>
    <definedName name="年假规则">[1]年假规则表!$A$2:$B$14</definedName>
    <definedName name="企划部">基本情况表!$A$6:$G$9</definedName>
    <definedName name="缺勤总扣款">请假记录!$A$4:$J$18</definedName>
    <definedName name="生产部">基本情况表!$A$10:$G$12</definedName>
    <definedName name="销售部">基本情况表!$A$13:$G$16</definedName>
    <definedName name="员工编号">工资调整!$A$3:$I$18</definedName>
  </definedNames>
  <calcPr calcId="145621"/>
  <pivotCaches>
    <pivotCache cacheId="0" r:id="rId18"/>
    <pivotCache cacheId="1" r:id="rId19"/>
  </pivotCaches>
</workbook>
</file>

<file path=xl/calcChain.xml><?xml version="1.0" encoding="utf-8"?>
<calcChain xmlns="http://schemas.openxmlformats.org/spreadsheetml/2006/main">
  <c r="A6" i="9" l="1"/>
  <c r="C6" i="9"/>
  <c r="D6" i="9"/>
  <c r="E6" i="9"/>
  <c r="H6" i="9"/>
  <c r="A9" i="9"/>
  <c r="C9" i="9"/>
  <c r="D9" i="9"/>
  <c r="E9" i="9"/>
  <c r="H9" i="9"/>
  <c r="A12" i="9"/>
  <c r="C12" i="9"/>
  <c r="D12" i="9"/>
  <c r="E12" i="9"/>
  <c r="H12" i="9"/>
  <c r="A15" i="9"/>
  <c r="C15" i="9"/>
  <c r="D15" i="9"/>
  <c r="E15" i="9"/>
  <c r="H15" i="9"/>
  <c r="A18" i="9"/>
  <c r="C18" i="9"/>
  <c r="D18" i="9"/>
  <c r="E18" i="9"/>
  <c r="H18" i="9"/>
  <c r="A21" i="9"/>
  <c r="C21" i="9"/>
  <c r="D21" i="9"/>
  <c r="E21" i="9"/>
  <c r="H21" i="9"/>
  <c r="A24" i="9"/>
  <c r="C24" i="9"/>
  <c r="D24" i="9"/>
  <c r="E24" i="9"/>
  <c r="H24" i="9"/>
  <c r="A27" i="9"/>
  <c r="C27" i="9"/>
  <c r="D27" i="9"/>
  <c r="E27" i="9"/>
  <c r="H27" i="9"/>
  <c r="A30" i="9"/>
  <c r="C30" i="9"/>
  <c r="D30" i="9"/>
  <c r="E30" i="9"/>
  <c r="H30" i="9"/>
  <c r="A33" i="9"/>
  <c r="C33" i="9"/>
  <c r="D33" i="9"/>
  <c r="E33" i="9"/>
  <c r="H33" i="9"/>
  <c r="A36" i="9"/>
  <c r="C36" i="9"/>
  <c r="D36" i="9"/>
  <c r="E36" i="9"/>
  <c r="H36" i="9"/>
  <c r="A39" i="9"/>
  <c r="C39" i="9"/>
  <c r="D39" i="9"/>
  <c r="E39" i="9"/>
  <c r="H39" i="9"/>
  <c r="A42" i="9"/>
  <c r="C42" i="9"/>
  <c r="D42" i="9"/>
  <c r="E42" i="9"/>
  <c r="H42" i="9"/>
  <c r="A45" i="9"/>
  <c r="C45" i="9"/>
  <c r="D45" i="9"/>
  <c r="E45" i="9"/>
  <c r="H45" i="9"/>
  <c r="A48" i="9"/>
  <c r="C48" i="9"/>
  <c r="D48" i="9"/>
  <c r="E48" i="9"/>
  <c r="H48" i="9"/>
  <c r="A51" i="9"/>
  <c r="C51" i="9"/>
  <c r="D51" i="9"/>
  <c r="E51" i="9"/>
  <c r="H51" i="9"/>
  <c r="A54" i="9"/>
  <c r="C54" i="9"/>
  <c r="D54" i="9"/>
  <c r="E54" i="9"/>
  <c r="H54" i="9"/>
  <c r="A57" i="9"/>
  <c r="C57" i="9"/>
  <c r="D57" i="9"/>
  <c r="E57" i="9"/>
  <c r="H57" i="9"/>
  <c r="A60" i="9"/>
  <c r="C60" i="9"/>
  <c r="D60" i="9"/>
  <c r="E60" i="9"/>
  <c r="H60" i="9"/>
  <c r="A63" i="9"/>
  <c r="C63" i="9"/>
  <c r="D63" i="9"/>
  <c r="E63" i="9"/>
  <c r="H63" i="9"/>
  <c r="A66" i="9"/>
  <c r="C66" i="9"/>
  <c r="D66" i="9"/>
  <c r="E66" i="9"/>
  <c r="H66" i="9"/>
  <c r="A69" i="9"/>
  <c r="C69" i="9"/>
  <c r="D69" i="9"/>
  <c r="E69" i="9"/>
  <c r="H69" i="9"/>
  <c r="I4" i="7"/>
  <c r="H2" i="3"/>
  <c r="K4" i="1"/>
  <c r="C10" i="2"/>
  <c r="C9" i="2"/>
  <c r="K3" i="1" l="1"/>
  <c r="C8" i="2"/>
  <c r="C7" i="2"/>
  <c r="C3" i="15" l="1"/>
  <c r="D3" i="15" s="1"/>
  <c r="E3" i="15" s="1"/>
  <c r="A3" i="15"/>
  <c r="H7" i="3"/>
  <c r="I6" i="9" s="1"/>
  <c r="H3" i="3"/>
  <c r="H13" i="3"/>
  <c r="H10" i="3"/>
  <c r="H4" i="3"/>
  <c r="I18" i="9" s="1"/>
  <c r="H11" i="3"/>
  <c r="H14" i="3"/>
  <c r="H5" i="3"/>
  <c r="H6" i="3"/>
  <c r="H8" i="3"/>
  <c r="H15" i="3"/>
  <c r="H16" i="3"/>
  <c r="H9" i="3"/>
  <c r="H12" i="3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2" i="6"/>
  <c r="K2" i="1"/>
  <c r="I33" i="9" l="1"/>
  <c r="I9" i="9"/>
  <c r="I30" i="9"/>
  <c r="I27" i="9"/>
  <c r="I42" i="9"/>
  <c r="I21" i="9"/>
  <c r="I39" i="9"/>
  <c r="I15" i="9"/>
  <c r="I36" i="9"/>
  <c r="I24" i="9"/>
  <c r="I12" i="9"/>
  <c r="I54" i="9"/>
  <c r="I66" i="9"/>
  <c r="I57" i="9"/>
  <c r="I69" i="9"/>
  <c r="I48" i="9"/>
  <c r="I60" i="9"/>
  <c r="I51" i="9"/>
  <c r="I63" i="9"/>
  <c r="I45" i="9"/>
  <c r="H3" i="9" l="1"/>
  <c r="D3" i="9"/>
  <c r="E3" i="9"/>
  <c r="I5" i="7" l="1"/>
  <c r="I7" i="7"/>
  <c r="I8" i="7"/>
  <c r="I9" i="7"/>
  <c r="I10" i="7"/>
  <c r="I12" i="7"/>
  <c r="I13" i="7"/>
  <c r="I14" i="7"/>
  <c r="I15" i="7"/>
  <c r="I16" i="7"/>
  <c r="I17" i="7"/>
  <c r="I18" i="7"/>
  <c r="C3" i="9"/>
  <c r="A3" i="9"/>
  <c r="F7" i="3"/>
  <c r="F3" i="3"/>
  <c r="F13" i="3"/>
  <c r="F10" i="3"/>
  <c r="F4" i="3"/>
  <c r="G18" i="9" s="1"/>
  <c r="F11" i="3"/>
  <c r="F14" i="3"/>
  <c r="F5" i="3"/>
  <c r="G27" i="9" s="1"/>
  <c r="F6" i="3"/>
  <c r="G30" i="9" s="1"/>
  <c r="F8" i="3"/>
  <c r="F15" i="3"/>
  <c r="F16" i="3"/>
  <c r="F9" i="3"/>
  <c r="F12" i="3"/>
  <c r="F2" i="3"/>
  <c r="G3" i="9" s="1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4" i="7"/>
  <c r="F15" i="7"/>
  <c r="G33" i="9" l="1"/>
  <c r="G9" i="9"/>
  <c r="G42" i="9"/>
  <c r="G6" i="9"/>
  <c r="G21" i="9"/>
  <c r="G39" i="9"/>
  <c r="G15" i="9"/>
  <c r="G36" i="9"/>
  <c r="G24" i="9"/>
  <c r="G12" i="9"/>
  <c r="G48" i="9"/>
  <c r="G60" i="9"/>
  <c r="G45" i="9"/>
  <c r="G57" i="9"/>
  <c r="G69" i="9"/>
  <c r="G51" i="9"/>
  <c r="G63" i="9"/>
  <c r="G54" i="9"/>
  <c r="G66" i="9"/>
  <c r="E2" i="3"/>
  <c r="F3" i="9" s="1"/>
  <c r="E7" i="3"/>
  <c r="E3" i="3"/>
  <c r="E13" i="3"/>
  <c r="E10" i="3"/>
  <c r="E4" i="3"/>
  <c r="F18" i="9" s="1"/>
  <c r="E11" i="3"/>
  <c r="E14" i="3"/>
  <c r="E5" i="3"/>
  <c r="E6" i="3"/>
  <c r="E8" i="3"/>
  <c r="E15" i="3"/>
  <c r="E16" i="3"/>
  <c r="E9" i="3"/>
  <c r="E12" i="3"/>
  <c r="F33" i="9" l="1"/>
  <c r="F30" i="9"/>
  <c r="F27" i="9"/>
  <c r="F9" i="9"/>
  <c r="F36" i="9"/>
  <c r="F12" i="9"/>
  <c r="F6" i="9"/>
  <c r="F42" i="9"/>
  <c r="F15" i="9"/>
  <c r="F24" i="9"/>
  <c r="F21" i="9"/>
  <c r="F45" i="9"/>
  <c r="F48" i="9"/>
  <c r="F51" i="9"/>
  <c r="F54" i="9"/>
  <c r="F57" i="9"/>
  <c r="F60" i="9"/>
  <c r="F63" i="9"/>
  <c r="F66" i="9"/>
  <c r="F69" i="9"/>
  <c r="F39" i="9"/>
  <c r="F4" i="15"/>
  <c r="G3" i="15" s="1"/>
  <c r="H3" i="15" s="1"/>
  <c r="I3" i="15" s="1"/>
  <c r="G13" i="7"/>
  <c r="H13" i="7"/>
  <c r="G15" i="7"/>
  <c r="H15" i="7"/>
  <c r="G11" i="7"/>
  <c r="H11" i="7"/>
  <c r="I11" i="7"/>
  <c r="G7" i="7"/>
  <c r="H7" i="7"/>
  <c r="H18" i="7"/>
  <c r="G18" i="7"/>
  <c r="H14" i="7"/>
  <c r="G14" i="7"/>
  <c r="H10" i="7"/>
  <c r="G10" i="7"/>
  <c r="H6" i="7"/>
  <c r="I6" i="7"/>
  <c r="G6" i="7"/>
  <c r="G17" i="7"/>
  <c r="H17" i="7"/>
  <c r="G9" i="7"/>
  <c r="H9" i="7"/>
  <c r="G5" i="7"/>
  <c r="H5" i="7"/>
  <c r="G16" i="7"/>
  <c r="H16" i="7"/>
  <c r="G12" i="7"/>
  <c r="H12" i="7"/>
  <c r="G8" i="7"/>
  <c r="H8" i="7"/>
  <c r="G4" i="7"/>
  <c r="H4" i="7"/>
  <c r="H4" i="1"/>
  <c r="I4" i="1" s="1"/>
  <c r="H5" i="1"/>
  <c r="I5" i="1" s="1"/>
  <c r="H6" i="1"/>
  <c r="I6" i="1" s="1"/>
  <c r="H7" i="1"/>
  <c r="I7" i="1" s="1"/>
  <c r="H8" i="1"/>
  <c r="I8" i="1" s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2" i="1"/>
  <c r="I2" i="1" s="1"/>
  <c r="H3" i="1"/>
  <c r="I3" i="1" s="1"/>
  <c r="D5" i="2"/>
  <c r="C6" i="2"/>
  <c r="C5" i="2"/>
  <c r="J9" i="7" l="1"/>
  <c r="I4" i="3" s="1"/>
  <c r="J4" i="3" s="1"/>
  <c r="J5" i="7"/>
  <c r="I7" i="3" s="1"/>
  <c r="J4" i="7"/>
  <c r="I2" i="3" s="1"/>
  <c r="J3" i="9" s="1"/>
  <c r="J17" i="7"/>
  <c r="I9" i="3" s="1"/>
  <c r="J3" i="15" s="1"/>
  <c r="J14" i="7"/>
  <c r="I8" i="3" s="1"/>
  <c r="J7" i="7"/>
  <c r="I13" i="3" s="1"/>
  <c r="J13" i="7"/>
  <c r="I6" i="3" s="1"/>
  <c r="J30" i="9" s="1"/>
  <c r="J18" i="7"/>
  <c r="I12" i="3" s="1"/>
  <c r="J11" i="7"/>
  <c r="I14" i="3" s="1"/>
  <c r="J15" i="7"/>
  <c r="I15" i="3" s="1"/>
  <c r="J12" i="7"/>
  <c r="I5" i="3" s="1"/>
  <c r="J27" i="9" s="1"/>
  <c r="J10" i="7"/>
  <c r="I11" i="3" s="1"/>
  <c r="J21" i="9" s="1"/>
  <c r="J8" i="7"/>
  <c r="I10" i="3" s="1"/>
  <c r="J6" i="7"/>
  <c r="I3" i="3" s="1"/>
  <c r="J9" i="9" s="1"/>
  <c r="J16" i="7"/>
  <c r="I16" i="3" s="1"/>
  <c r="J18" i="9" l="1"/>
  <c r="J24" i="9"/>
  <c r="J33" i="9"/>
  <c r="K18" i="9"/>
  <c r="J15" i="9"/>
  <c r="J42" i="9"/>
  <c r="J39" i="9"/>
  <c r="J36" i="9"/>
  <c r="J12" i="9"/>
  <c r="J6" i="9"/>
  <c r="J45" i="9"/>
  <c r="J48" i="9"/>
  <c r="J51" i="9"/>
  <c r="J54" i="9"/>
  <c r="J57" i="9"/>
  <c r="J60" i="9"/>
  <c r="J63" i="9"/>
  <c r="J66" i="9"/>
  <c r="J69" i="9"/>
  <c r="J5" i="3"/>
  <c r="J16" i="3"/>
  <c r="J3" i="3"/>
  <c r="J7" i="3"/>
  <c r="J6" i="3"/>
  <c r="J15" i="3"/>
  <c r="J13" i="3"/>
  <c r="J10" i="3"/>
  <c r="K15" i="9" s="1"/>
  <c r="J14" i="3"/>
  <c r="K24" i="9" s="1"/>
  <c r="J8" i="3"/>
  <c r="J11" i="3"/>
  <c r="K21" i="9" s="1"/>
  <c r="J12" i="3"/>
  <c r="J9" i="3"/>
  <c r="K3" i="15" s="1"/>
  <c r="M4" i="3"/>
  <c r="K4" i="3"/>
  <c r="L4" i="3"/>
  <c r="K27" i="9" l="1"/>
  <c r="K33" i="9"/>
  <c r="K12" i="9"/>
  <c r="K9" i="9"/>
  <c r="K42" i="9"/>
  <c r="K36" i="9"/>
  <c r="K39" i="9"/>
  <c r="K30" i="9"/>
  <c r="K51" i="9"/>
  <c r="K63" i="9"/>
  <c r="K45" i="9"/>
  <c r="K57" i="9"/>
  <c r="K48" i="9"/>
  <c r="K60" i="9"/>
  <c r="K54" i="9"/>
  <c r="K66" i="9"/>
  <c r="K69" i="9"/>
  <c r="M9" i="3"/>
  <c r="K9" i="3"/>
  <c r="L3" i="15" s="1"/>
  <c r="M3" i="15" s="1"/>
  <c r="N3" i="15" s="1"/>
  <c r="L9" i="3"/>
  <c r="L11" i="3"/>
  <c r="M21" i="9" s="1"/>
  <c r="M11" i="3"/>
  <c r="N21" i="9" s="1"/>
  <c r="K11" i="3"/>
  <c r="L21" i="9" s="1"/>
  <c r="L14" i="3"/>
  <c r="M14" i="3"/>
  <c r="K14" i="3"/>
  <c r="L13" i="3"/>
  <c r="M13" i="3"/>
  <c r="K13" i="3"/>
  <c r="M6" i="3"/>
  <c r="K6" i="3"/>
  <c r="L30" i="9" s="1"/>
  <c r="L6" i="3"/>
  <c r="K3" i="3"/>
  <c r="L3" i="3"/>
  <c r="M3" i="3"/>
  <c r="N4" i="3"/>
  <c r="L12" i="3"/>
  <c r="M12" i="3"/>
  <c r="K12" i="3"/>
  <c r="K8" i="3"/>
  <c r="L33" i="9" s="1"/>
  <c r="L8" i="3"/>
  <c r="M8" i="3"/>
  <c r="N33" i="9" s="1"/>
  <c r="M10" i="3"/>
  <c r="N15" i="9" s="1"/>
  <c r="K10" i="3"/>
  <c r="L18" i="9" s="1"/>
  <c r="L10" i="3"/>
  <c r="L15" i="3"/>
  <c r="M15" i="3"/>
  <c r="K15" i="3"/>
  <c r="M7" i="3"/>
  <c r="K7" i="3"/>
  <c r="L7" i="3"/>
  <c r="M16" i="3"/>
  <c r="K16" i="3"/>
  <c r="L16" i="3"/>
  <c r="K5" i="3"/>
  <c r="L27" i="9" s="1"/>
  <c r="L5" i="3"/>
  <c r="M5" i="3"/>
  <c r="M18" i="9" l="1"/>
  <c r="M33" i="9"/>
  <c r="M27" i="9"/>
  <c r="M24" i="9"/>
  <c r="N9" i="9"/>
  <c r="M9" i="9"/>
  <c r="L24" i="9"/>
  <c r="N27" i="9"/>
  <c r="L9" i="9"/>
  <c r="N24" i="9"/>
  <c r="N36" i="9"/>
  <c r="M12" i="9"/>
  <c r="N18" i="9"/>
  <c r="L42" i="9"/>
  <c r="L39" i="9"/>
  <c r="M15" i="9"/>
  <c r="N39" i="9"/>
  <c r="L36" i="9"/>
  <c r="M30" i="9"/>
  <c r="N12" i="9"/>
  <c r="M42" i="9"/>
  <c r="N42" i="9"/>
  <c r="L12" i="9"/>
  <c r="L15" i="9"/>
  <c r="M39" i="9"/>
  <c r="M36" i="9"/>
  <c r="N30" i="9"/>
  <c r="L48" i="9"/>
  <c r="L60" i="9"/>
  <c r="L51" i="9"/>
  <c r="L63" i="9"/>
  <c r="L66" i="9"/>
  <c r="L45" i="9"/>
  <c r="L57" i="9"/>
  <c r="L69" i="9"/>
  <c r="L54" i="9"/>
  <c r="N45" i="9"/>
  <c r="N48" i="9"/>
  <c r="N51" i="9"/>
  <c r="N54" i="9"/>
  <c r="N57" i="9"/>
  <c r="N60" i="9"/>
  <c r="N63" i="9"/>
  <c r="N66" i="9"/>
  <c r="N69" i="9"/>
  <c r="M45" i="9"/>
  <c r="M57" i="9"/>
  <c r="M48" i="9"/>
  <c r="M60" i="9"/>
  <c r="M51" i="9"/>
  <c r="M63" i="9"/>
  <c r="M54" i="9"/>
  <c r="M66" i="9"/>
  <c r="M69" i="9"/>
  <c r="N12" i="3"/>
  <c r="N6" i="3"/>
  <c r="N15" i="3"/>
  <c r="N5" i="3"/>
  <c r="N16" i="3"/>
  <c r="N3" i="3"/>
  <c r="O4" i="3"/>
  <c r="N14" i="3"/>
  <c r="N7" i="3"/>
  <c r="N13" i="3"/>
  <c r="N11" i="3"/>
  <c r="N10" i="3"/>
  <c r="N8" i="3"/>
  <c r="N9" i="3"/>
  <c r="O3" i="15" l="1"/>
  <c r="O21" i="9"/>
  <c r="O18" i="9"/>
  <c r="O33" i="9"/>
  <c r="O24" i="9"/>
  <c r="O27" i="9"/>
  <c r="O9" i="9"/>
  <c r="O12" i="9"/>
  <c r="O42" i="9"/>
  <c r="O15" i="9"/>
  <c r="O36" i="9"/>
  <c r="O39" i="9"/>
  <c r="O30" i="9"/>
  <c r="O54" i="9"/>
  <c r="O66" i="9"/>
  <c r="O51" i="9"/>
  <c r="O63" i="9"/>
  <c r="O45" i="9"/>
  <c r="O57" i="9"/>
  <c r="O69" i="9"/>
  <c r="O48" i="9"/>
  <c r="O60" i="9"/>
  <c r="O15" i="3"/>
  <c r="O12" i="3"/>
  <c r="O6" i="3"/>
  <c r="P4" i="3"/>
  <c r="O11" i="3"/>
  <c r="O16" i="3"/>
  <c r="O9" i="3"/>
  <c r="O13" i="3"/>
  <c r="O5" i="3"/>
  <c r="O8" i="3"/>
  <c r="O7" i="3"/>
  <c r="O10" i="3"/>
  <c r="O14" i="3"/>
  <c r="P24" i="9" s="1"/>
  <c r="O3" i="3"/>
  <c r="P15" i="3" l="1"/>
  <c r="P3" i="15"/>
  <c r="P21" i="9"/>
  <c r="P33" i="9"/>
  <c r="P18" i="9"/>
  <c r="P27" i="9"/>
  <c r="P9" i="9"/>
  <c r="P39" i="9"/>
  <c r="P42" i="9"/>
  <c r="P36" i="9"/>
  <c r="P30" i="9"/>
  <c r="P15" i="9"/>
  <c r="P12" i="9"/>
  <c r="P51" i="9"/>
  <c r="P63" i="9"/>
  <c r="P54" i="9"/>
  <c r="P66" i="9"/>
  <c r="P45" i="9"/>
  <c r="P57" i="9"/>
  <c r="P48" i="9"/>
  <c r="P60" i="9"/>
  <c r="P69" i="9"/>
  <c r="P12" i="3"/>
  <c r="P6" i="3"/>
  <c r="P7" i="3"/>
  <c r="P5" i="3"/>
  <c r="P8" i="3"/>
  <c r="P9" i="3"/>
  <c r="P3" i="3"/>
  <c r="P11" i="3"/>
  <c r="P14" i="3"/>
  <c r="Q24" i="9" s="1"/>
  <c r="P13" i="3"/>
  <c r="P16" i="3"/>
  <c r="P10" i="3"/>
  <c r="Q21" i="9" l="1"/>
  <c r="Q18" i="9"/>
  <c r="Q33" i="9"/>
  <c r="Q27" i="9"/>
  <c r="Q9" i="9"/>
  <c r="Q42" i="9"/>
  <c r="Q15" i="9"/>
  <c r="Q3" i="15"/>
  <c r="Q12" i="9"/>
  <c r="Q30" i="9"/>
  <c r="Q36" i="9"/>
  <c r="Q39" i="9"/>
  <c r="Q48" i="9"/>
  <c r="Q60" i="9"/>
  <c r="Q54" i="9"/>
  <c r="Q45" i="9"/>
  <c r="Q57" i="9"/>
  <c r="Q69" i="9"/>
  <c r="Q51" i="9"/>
  <c r="Q63" i="9"/>
  <c r="Q66" i="9"/>
  <c r="I3" i="9"/>
  <c r="J2" i="3"/>
  <c r="K6" i="9" s="1"/>
  <c r="K2" i="3" l="1"/>
  <c r="K3" i="9"/>
  <c r="L2" i="3"/>
  <c r="M2" i="3"/>
  <c r="L3" i="9" l="1"/>
  <c r="L6" i="9"/>
  <c r="N3" i="9"/>
  <c r="N6" i="9"/>
  <c r="M3" i="9"/>
  <c r="M6" i="9"/>
  <c r="N2" i="3"/>
  <c r="O2" i="3" l="1"/>
  <c r="O6" i="9"/>
  <c r="O3" i="9"/>
  <c r="P6" i="9" l="1"/>
  <c r="P3" i="9"/>
  <c r="P2" i="3"/>
  <c r="Q3" i="9" l="1"/>
  <c r="Q6" i="9"/>
</calcChain>
</file>

<file path=xl/sharedStrings.xml><?xml version="1.0" encoding="utf-8"?>
<sst xmlns="http://schemas.openxmlformats.org/spreadsheetml/2006/main" count="953" uniqueCount="258">
  <si>
    <t>A B C 公 司</t>
    <phoneticPr fontId="3" type="noConversion"/>
  </si>
  <si>
    <t>员工编号</t>
    <phoneticPr fontId="3" type="noConversion"/>
  </si>
  <si>
    <t>姓名</t>
    <phoneticPr fontId="3" type="noConversion"/>
  </si>
  <si>
    <t>性别</t>
    <phoneticPr fontId="3" type="noConversion"/>
  </si>
  <si>
    <t>入职时间</t>
    <phoneticPr fontId="3" type="noConversion"/>
  </si>
  <si>
    <t>所属部门</t>
    <phoneticPr fontId="3" type="noConversion"/>
  </si>
  <si>
    <t>职工类别</t>
    <phoneticPr fontId="3" type="noConversion"/>
  </si>
  <si>
    <t>基本工资</t>
    <phoneticPr fontId="3" type="noConversion"/>
  </si>
  <si>
    <t>0003</t>
  </si>
  <si>
    <t>李芳</t>
    <phoneticPr fontId="3" type="noConversion"/>
  </si>
  <si>
    <t>女</t>
    <phoneticPr fontId="3" type="noConversion"/>
  </si>
  <si>
    <t>财务部</t>
  </si>
  <si>
    <t>部门经理</t>
    <phoneticPr fontId="3" type="noConversion"/>
  </si>
  <si>
    <t>0006</t>
  </si>
  <si>
    <t>0009</t>
  </si>
  <si>
    <t>0010</t>
  </si>
  <si>
    <t>企划部</t>
  </si>
  <si>
    <t>0002</t>
  </si>
  <si>
    <t>0011</t>
  </si>
  <si>
    <t>0014</t>
  </si>
  <si>
    <t>0005</t>
  </si>
  <si>
    <t>生产部</t>
  </si>
  <si>
    <t>0007</t>
  </si>
  <si>
    <t>0015</t>
  </si>
  <si>
    <t>0004</t>
  </si>
  <si>
    <t>销售部</t>
  </si>
  <si>
    <t>0008</t>
  </si>
  <si>
    <t>0012</t>
  </si>
  <si>
    <t>0013</t>
  </si>
  <si>
    <t>邹燕燕</t>
    <phoneticPr fontId="3" type="noConversion"/>
  </si>
  <si>
    <t>女</t>
    <phoneticPr fontId="3" type="noConversion"/>
  </si>
  <si>
    <t>会计</t>
    <phoneticPr fontId="3" type="noConversion"/>
  </si>
  <si>
    <t>邱秀丽</t>
    <phoneticPr fontId="3" type="noConversion"/>
  </si>
  <si>
    <t>预算员</t>
    <phoneticPr fontId="3" type="noConversion"/>
  </si>
  <si>
    <t>王心萍</t>
    <phoneticPr fontId="3" type="noConversion"/>
  </si>
  <si>
    <t>出纳</t>
    <phoneticPr fontId="3" type="noConversion"/>
  </si>
  <si>
    <t>0001</t>
    <phoneticPr fontId="3" type="noConversion"/>
  </si>
  <si>
    <t>王晓东</t>
    <phoneticPr fontId="3" type="noConversion"/>
  </si>
  <si>
    <t>男</t>
    <phoneticPr fontId="3" type="noConversion"/>
  </si>
  <si>
    <t>广告策划</t>
    <phoneticPr fontId="3" type="noConversion"/>
  </si>
  <si>
    <t>马一鸣</t>
    <phoneticPr fontId="3" type="noConversion"/>
  </si>
  <si>
    <t>宋辉</t>
    <phoneticPr fontId="3" type="noConversion"/>
  </si>
  <si>
    <t>部门经理</t>
    <phoneticPr fontId="3" type="noConversion"/>
  </si>
  <si>
    <t>齐敏</t>
    <phoneticPr fontId="3" type="noConversion"/>
  </si>
  <si>
    <t>潘涛</t>
    <phoneticPr fontId="3" type="noConversion"/>
  </si>
  <si>
    <t>孙晓凡</t>
    <phoneticPr fontId="3" type="noConversion"/>
  </si>
  <si>
    <t>技术员</t>
    <phoneticPr fontId="3" type="noConversion"/>
  </si>
  <si>
    <t>耿小龙</t>
    <phoneticPr fontId="3" type="noConversion"/>
  </si>
  <si>
    <t>技术工人</t>
    <phoneticPr fontId="3" type="noConversion"/>
  </si>
  <si>
    <t>任可</t>
    <phoneticPr fontId="3" type="noConversion"/>
  </si>
  <si>
    <t>业务员</t>
    <phoneticPr fontId="3" type="noConversion"/>
  </si>
  <si>
    <t>赵文彬</t>
    <phoneticPr fontId="3" type="noConversion"/>
  </si>
  <si>
    <t>高明</t>
    <phoneticPr fontId="3" type="noConversion"/>
  </si>
  <si>
    <t>张瑞峰</t>
    <phoneticPr fontId="3" type="noConversion"/>
  </si>
  <si>
    <t>员工编号</t>
    <phoneticPr fontId="3" type="noConversion"/>
  </si>
  <si>
    <t>姓名</t>
    <phoneticPr fontId="3" type="noConversion"/>
  </si>
  <si>
    <t>所属部门</t>
    <phoneticPr fontId="3" type="noConversion"/>
  </si>
  <si>
    <t>基本工资</t>
    <phoneticPr fontId="3" type="noConversion"/>
  </si>
  <si>
    <t>奖金</t>
    <phoneticPr fontId="3" type="noConversion"/>
  </si>
  <si>
    <t>补贴</t>
    <phoneticPr fontId="3" type="noConversion"/>
  </si>
  <si>
    <t>加班费</t>
    <phoneticPr fontId="3" type="noConversion"/>
  </si>
  <si>
    <t>应发工资</t>
    <phoneticPr fontId="3" type="noConversion"/>
  </si>
  <si>
    <t>缺勤扣款</t>
    <phoneticPr fontId="3" type="noConversion"/>
  </si>
  <si>
    <t>所得税</t>
    <phoneticPr fontId="3" type="noConversion"/>
  </si>
  <si>
    <t>实发工资</t>
    <phoneticPr fontId="3" type="noConversion"/>
  </si>
  <si>
    <t>0001</t>
    <phoneticPr fontId="3" type="noConversion"/>
  </si>
  <si>
    <t>王晓东</t>
    <phoneticPr fontId="3" type="noConversion"/>
  </si>
  <si>
    <t>马一鸣</t>
    <phoneticPr fontId="3" type="noConversion"/>
  </si>
  <si>
    <t>李芳</t>
    <phoneticPr fontId="3" type="noConversion"/>
  </si>
  <si>
    <t>任可</t>
    <phoneticPr fontId="3" type="noConversion"/>
  </si>
  <si>
    <t>潘涛</t>
    <phoneticPr fontId="3" type="noConversion"/>
  </si>
  <si>
    <t>邹燕燕</t>
    <phoneticPr fontId="3" type="noConversion"/>
  </si>
  <si>
    <t>孙晓凡</t>
    <phoneticPr fontId="3" type="noConversion"/>
  </si>
  <si>
    <t>赵文彬</t>
    <phoneticPr fontId="3" type="noConversion"/>
  </si>
  <si>
    <t>邱秀丽</t>
    <phoneticPr fontId="3" type="noConversion"/>
  </si>
  <si>
    <t>王心萍</t>
    <phoneticPr fontId="3" type="noConversion"/>
  </si>
  <si>
    <t>宋辉</t>
    <phoneticPr fontId="3" type="noConversion"/>
  </si>
  <si>
    <t>高明</t>
    <phoneticPr fontId="3" type="noConversion"/>
  </si>
  <si>
    <t>张瑞峰</t>
    <phoneticPr fontId="3" type="noConversion"/>
  </si>
  <si>
    <t>齐敏</t>
    <phoneticPr fontId="3" type="noConversion"/>
  </si>
  <si>
    <t>耿小龙</t>
    <phoneticPr fontId="3" type="noConversion"/>
  </si>
  <si>
    <t>A B C 公 司</t>
  </si>
  <si>
    <t>部门人员统计表</t>
  </si>
  <si>
    <t>统计日期</t>
  </si>
  <si>
    <t>部门</t>
  </si>
  <si>
    <t>性别</t>
  </si>
  <si>
    <t>人数</t>
  </si>
  <si>
    <t>共计</t>
  </si>
  <si>
    <t>男</t>
  </si>
  <si>
    <t>女</t>
  </si>
  <si>
    <t>合计</t>
  </si>
  <si>
    <t>A B C 公 司</t>
    <phoneticPr fontId="3" type="noConversion"/>
  </si>
  <si>
    <t>性别</t>
    <phoneticPr fontId="3" type="noConversion"/>
  </si>
  <si>
    <t>男</t>
    <phoneticPr fontId="3" type="noConversion"/>
  </si>
  <si>
    <t>女</t>
    <phoneticPr fontId="3" type="noConversion"/>
  </si>
  <si>
    <t>年假规则表</t>
    <phoneticPr fontId="3" type="noConversion"/>
  </si>
  <si>
    <t>工龄</t>
    <phoneticPr fontId="1" type="noConversion"/>
  </si>
  <si>
    <t>年假（天）</t>
    <phoneticPr fontId="1" type="noConversion"/>
  </si>
  <si>
    <t>工龄</t>
    <phoneticPr fontId="1" type="noConversion"/>
  </si>
  <si>
    <t>年假（天）</t>
    <phoneticPr fontId="1" type="noConversion"/>
  </si>
  <si>
    <t>工资调整表</t>
    <phoneticPr fontId="3" type="noConversion"/>
  </si>
  <si>
    <t>员工编号</t>
    <phoneticPr fontId="3" type="noConversion"/>
  </si>
  <si>
    <t>姓名</t>
    <phoneticPr fontId="3" type="noConversion"/>
  </si>
  <si>
    <t>入职时间</t>
    <phoneticPr fontId="3" type="noConversion"/>
  </si>
  <si>
    <t>所属部门</t>
    <phoneticPr fontId="3" type="noConversion"/>
  </si>
  <si>
    <t>职工类别</t>
    <phoneticPr fontId="3" type="noConversion"/>
  </si>
  <si>
    <t>调整年</t>
    <phoneticPr fontId="3" type="noConversion"/>
  </si>
  <si>
    <t>调整月</t>
    <phoneticPr fontId="3" type="noConversion"/>
  </si>
  <si>
    <t>调整工资</t>
    <phoneticPr fontId="3" type="noConversion"/>
  </si>
  <si>
    <t>0001</t>
    <phoneticPr fontId="3" type="noConversion"/>
  </si>
  <si>
    <t>王晓东</t>
    <phoneticPr fontId="3" type="noConversion"/>
  </si>
  <si>
    <t>广告策划</t>
    <phoneticPr fontId="3" type="noConversion"/>
  </si>
  <si>
    <t>马一鸣</t>
    <phoneticPr fontId="3" type="noConversion"/>
  </si>
  <si>
    <t>李芳</t>
    <phoneticPr fontId="3" type="noConversion"/>
  </si>
  <si>
    <t>部门经理</t>
    <phoneticPr fontId="3" type="noConversion"/>
  </si>
  <si>
    <t>任可</t>
    <phoneticPr fontId="3" type="noConversion"/>
  </si>
  <si>
    <t>业务员</t>
    <phoneticPr fontId="3" type="noConversion"/>
  </si>
  <si>
    <t>潘涛</t>
    <phoneticPr fontId="3" type="noConversion"/>
  </si>
  <si>
    <t>邹燕燕</t>
    <phoneticPr fontId="3" type="noConversion"/>
  </si>
  <si>
    <t>会计</t>
    <phoneticPr fontId="3" type="noConversion"/>
  </si>
  <si>
    <t>孙晓凡</t>
    <phoneticPr fontId="3" type="noConversion"/>
  </si>
  <si>
    <t>技术员</t>
    <phoneticPr fontId="3" type="noConversion"/>
  </si>
  <si>
    <t>赵文彬</t>
    <phoneticPr fontId="3" type="noConversion"/>
  </si>
  <si>
    <t>邱秀丽</t>
    <phoneticPr fontId="3" type="noConversion"/>
  </si>
  <si>
    <t>预算员</t>
    <phoneticPr fontId="3" type="noConversion"/>
  </si>
  <si>
    <t>王心萍</t>
    <phoneticPr fontId="3" type="noConversion"/>
  </si>
  <si>
    <t>出纳</t>
    <phoneticPr fontId="3" type="noConversion"/>
  </si>
  <si>
    <t>宋辉</t>
    <phoneticPr fontId="3" type="noConversion"/>
  </si>
  <si>
    <t>高明</t>
    <phoneticPr fontId="3" type="noConversion"/>
  </si>
  <si>
    <t>张瑞峰</t>
    <phoneticPr fontId="3" type="noConversion"/>
  </si>
  <si>
    <t>齐敏</t>
    <phoneticPr fontId="3" type="noConversion"/>
  </si>
  <si>
    <t>耿小龙</t>
    <phoneticPr fontId="3" type="noConversion"/>
  </si>
  <si>
    <t>技术工人</t>
    <phoneticPr fontId="3" type="noConversion"/>
  </si>
  <si>
    <t>员工编号</t>
    <phoneticPr fontId="3" type="noConversion"/>
  </si>
  <si>
    <t>姓名</t>
    <phoneticPr fontId="3" type="noConversion"/>
  </si>
  <si>
    <t>性别</t>
    <phoneticPr fontId="3" type="noConversion"/>
  </si>
  <si>
    <t>所属部门</t>
    <phoneticPr fontId="3" type="noConversion"/>
  </si>
  <si>
    <t>职工类别</t>
    <phoneticPr fontId="3" type="noConversion"/>
  </si>
  <si>
    <t>日期</t>
    <phoneticPr fontId="3" type="noConversion"/>
  </si>
  <si>
    <t>开始时间</t>
    <phoneticPr fontId="3" type="noConversion"/>
  </si>
  <si>
    <t>结束时间</t>
    <phoneticPr fontId="3" type="noConversion"/>
  </si>
  <si>
    <t>王晓东</t>
    <phoneticPr fontId="3" type="noConversion"/>
  </si>
  <si>
    <t>男</t>
    <phoneticPr fontId="3" type="noConversion"/>
  </si>
  <si>
    <t>广告策划</t>
    <phoneticPr fontId="3" type="noConversion"/>
  </si>
  <si>
    <t>马一鸣</t>
    <phoneticPr fontId="3" type="noConversion"/>
  </si>
  <si>
    <t>李芳</t>
    <phoneticPr fontId="3" type="noConversion"/>
  </si>
  <si>
    <t>女</t>
    <phoneticPr fontId="3" type="noConversion"/>
  </si>
  <si>
    <t>部门经理</t>
    <phoneticPr fontId="3" type="noConversion"/>
  </si>
  <si>
    <t>任可</t>
    <phoneticPr fontId="3" type="noConversion"/>
  </si>
  <si>
    <t>业务员</t>
    <phoneticPr fontId="3" type="noConversion"/>
  </si>
  <si>
    <t>潘涛</t>
    <phoneticPr fontId="3" type="noConversion"/>
  </si>
  <si>
    <t>邹燕燕</t>
    <phoneticPr fontId="3" type="noConversion"/>
  </si>
  <si>
    <t>会计</t>
    <phoneticPr fontId="3" type="noConversion"/>
  </si>
  <si>
    <t>孙晓凡</t>
    <phoneticPr fontId="3" type="noConversion"/>
  </si>
  <si>
    <t>技术员</t>
    <phoneticPr fontId="3" type="noConversion"/>
  </si>
  <si>
    <t>赵文彬</t>
    <phoneticPr fontId="3" type="noConversion"/>
  </si>
  <si>
    <t>邱秀丽</t>
    <phoneticPr fontId="3" type="noConversion"/>
  </si>
  <si>
    <t>预算员</t>
    <phoneticPr fontId="3" type="noConversion"/>
  </si>
  <si>
    <t>王心萍</t>
    <phoneticPr fontId="3" type="noConversion"/>
  </si>
  <si>
    <t>出纳</t>
    <phoneticPr fontId="3" type="noConversion"/>
  </si>
  <si>
    <t>宋辉</t>
    <phoneticPr fontId="3" type="noConversion"/>
  </si>
  <si>
    <t>高明</t>
    <phoneticPr fontId="3" type="noConversion"/>
  </si>
  <si>
    <t>张瑞峰</t>
    <phoneticPr fontId="3" type="noConversion"/>
  </si>
  <si>
    <t>齐敏</t>
    <phoneticPr fontId="3" type="noConversion"/>
  </si>
  <si>
    <t>耿小龙</t>
    <phoneticPr fontId="3" type="noConversion"/>
  </si>
  <si>
    <t>技术工人</t>
    <phoneticPr fontId="3" type="noConversion"/>
  </si>
  <si>
    <t>病假</t>
    <phoneticPr fontId="3" type="noConversion"/>
  </si>
  <si>
    <t>事假</t>
    <phoneticPr fontId="3" type="noConversion"/>
  </si>
  <si>
    <t>迟到</t>
    <phoneticPr fontId="3" type="noConversion"/>
  </si>
  <si>
    <t>病假扣款</t>
    <phoneticPr fontId="3" type="noConversion"/>
  </si>
  <si>
    <t>事假扣款</t>
    <phoneticPr fontId="3" type="noConversion"/>
  </si>
  <si>
    <t>迟到扣款</t>
    <phoneticPr fontId="3" type="noConversion"/>
  </si>
  <si>
    <t>缺勤总扣款</t>
    <phoneticPr fontId="1" type="noConversion"/>
  </si>
  <si>
    <t>出勤奖金</t>
    <phoneticPr fontId="1" type="noConversion"/>
  </si>
  <si>
    <t>0001</t>
    <phoneticPr fontId="3" type="noConversion"/>
  </si>
  <si>
    <t>王晓东</t>
    <phoneticPr fontId="3" type="noConversion"/>
  </si>
  <si>
    <t>企划部</t>
    <phoneticPr fontId="3" type="noConversion"/>
  </si>
  <si>
    <t>0002</t>
    <phoneticPr fontId="3" type="noConversion"/>
  </si>
  <si>
    <t>马一鸣</t>
    <phoneticPr fontId="3" type="noConversion"/>
  </si>
  <si>
    <t>企划部</t>
    <phoneticPr fontId="3" type="noConversion"/>
  </si>
  <si>
    <t>0003</t>
    <phoneticPr fontId="3" type="noConversion"/>
  </si>
  <si>
    <t>财务部</t>
    <phoneticPr fontId="3" type="noConversion"/>
  </si>
  <si>
    <t>0004</t>
    <phoneticPr fontId="3" type="noConversion"/>
  </si>
  <si>
    <t>销售部</t>
    <phoneticPr fontId="3" type="noConversion"/>
  </si>
  <si>
    <t>0005</t>
    <phoneticPr fontId="3" type="noConversion"/>
  </si>
  <si>
    <t>生产部</t>
    <phoneticPr fontId="3" type="noConversion"/>
  </si>
  <si>
    <t>0006</t>
    <phoneticPr fontId="3" type="noConversion"/>
  </si>
  <si>
    <t>0007</t>
    <phoneticPr fontId="3" type="noConversion"/>
  </si>
  <si>
    <t>0008</t>
    <phoneticPr fontId="3" type="noConversion"/>
  </si>
  <si>
    <t>0009</t>
    <phoneticPr fontId="3" type="noConversion"/>
  </si>
  <si>
    <t>0010</t>
    <phoneticPr fontId="3" type="noConversion"/>
  </si>
  <si>
    <t>0011</t>
    <phoneticPr fontId="3" type="noConversion"/>
  </si>
  <si>
    <t>企划部</t>
    <phoneticPr fontId="3" type="noConversion"/>
  </si>
  <si>
    <t>0012</t>
    <phoneticPr fontId="3" type="noConversion"/>
  </si>
  <si>
    <t>0013</t>
    <phoneticPr fontId="3" type="noConversion"/>
  </si>
  <si>
    <t>0014</t>
    <phoneticPr fontId="3" type="noConversion"/>
  </si>
  <si>
    <t>0015</t>
    <phoneticPr fontId="3" type="noConversion"/>
  </si>
  <si>
    <t>级数</t>
    <phoneticPr fontId="7" type="noConversion"/>
  </si>
  <si>
    <t>说明</t>
    <phoneticPr fontId="7" type="noConversion"/>
  </si>
  <si>
    <t>下限</t>
    <phoneticPr fontId="7" type="noConversion"/>
  </si>
  <si>
    <t>上限</t>
    <phoneticPr fontId="7" type="noConversion"/>
  </si>
  <si>
    <t>税率(%)</t>
  </si>
  <si>
    <t>速算扣除数</t>
  </si>
  <si>
    <t>不超过1500元的</t>
  </si>
  <si>
    <t>超过1500元至4500元的部分</t>
  </si>
  <si>
    <t>超过4500元至9000元的部分</t>
  </si>
  <si>
    <t>超过9000元至35000元的部分</t>
  </si>
  <si>
    <t>超过35000元至55000元的部分</t>
  </si>
  <si>
    <t>超过55000元至80000元的部分</t>
  </si>
  <si>
    <t>超过80000元的部分</t>
  </si>
  <si>
    <t>养老保险</t>
    <phoneticPr fontId="1" type="noConversion"/>
  </si>
  <si>
    <t>医疗保险</t>
    <phoneticPr fontId="1" type="noConversion"/>
  </si>
  <si>
    <t>应税工资</t>
    <phoneticPr fontId="1" type="noConversion"/>
  </si>
  <si>
    <t>住房公积金</t>
    <phoneticPr fontId="3" type="noConversion"/>
  </si>
  <si>
    <t>月份</t>
    <phoneticPr fontId="1" type="noConversion"/>
  </si>
  <si>
    <t>员工工资条</t>
    <phoneticPr fontId="1" type="noConversion"/>
  </si>
  <si>
    <t>0001</t>
    <phoneticPr fontId="1" type="noConversion"/>
  </si>
  <si>
    <t>行标签</t>
  </si>
  <si>
    <t>总计</t>
  </si>
  <si>
    <t>求和项:实发工资</t>
  </si>
  <si>
    <t>部门经理</t>
  </si>
  <si>
    <t>出纳</t>
  </si>
  <si>
    <t>广告策划</t>
  </si>
  <si>
    <t>会计</t>
  </si>
  <si>
    <t>技术工人</t>
  </si>
  <si>
    <t>技术员</t>
  </si>
  <si>
    <t>业务员</t>
  </si>
  <si>
    <t>预算员</t>
  </si>
  <si>
    <t>列标签</t>
  </si>
  <si>
    <t>职工类别</t>
    <phoneticPr fontId="1" type="noConversion"/>
  </si>
  <si>
    <r>
      <t>5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</si>
  <si>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20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</si>
  <si>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25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</si>
  <si>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18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</si>
  <si>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8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</si>
  <si>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24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</si>
  <si>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10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</si>
  <si>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21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</si>
  <si>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6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</si>
  <si>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26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</si>
  <si>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19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</si>
  <si>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r>
      <t>7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</si>
  <si>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t>加班费</t>
    <phoneticPr fontId="1" type="noConversion"/>
  </si>
  <si>
    <r>
      <t>6</t>
    </r>
    <r>
      <rPr>
        <b/>
        <sz val="16"/>
        <color theme="1"/>
        <rFont val="宋体"/>
        <family val="2"/>
        <scheme val="minor"/>
      </rPr>
      <t>日</t>
    </r>
    <phoneticPr fontId="3" type="noConversion"/>
  </si>
  <si>
    <t>求和项:加班费</t>
  </si>
  <si>
    <t>员工编号</t>
    <phoneticPr fontId="1" type="noConversion"/>
  </si>
  <si>
    <t>加班费</t>
    <phoneticPr fontId="1" type="noConversion"/>
  </si>
  <si>
    <t>请假记录表（2018年4月）</t>
    <phoneticPr fontId="3" type="noConversion"/>
  </si>
  <si>
    <t>0016</t>
  </si>
  <si>
    <t>0017</t>
  </si>
  <si>
    <t>0018</t>
  </si>
  <si>
    <t>0019</t>
  </si>
  <si>
    <t>0020</t>
  </si>
  <si>
    <t>0021</t>
  </si>
  <si>
    <t>0022</t>
  </si>
  <si>
    <t>0023</t>
  </si>
  <si>
    <t>0001</t>
  </si>
  <si>
    <t>求和项:基本工资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</si>
</sst>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yyyy\-mm\-dd"/>
    <numFmt numFmtId="178" formatCode="0.00_);[Red]\(0.00\)"/>
    <numFmt numFmtId="179" formatCode="0000"/>
    <numFmt numFmtId="180" formatCode="h:mm;@"/>
    <numFmt numFmtId="181" formatCode="0_ "/>
    <numFmt numFmtId="182" formatCode="0_);[Red]\(0\)"/>
    <numFmt numFmtId="183" formatCode="yyyy\-mm"/>
    <numFmt numFmtId="184" formatCode="yyyy\-m"/>
  </numFmts>
  <fonts count="1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隶书"/>
      <family val="3"/>
      <charset val="134"/>
    </font>
    <font>
      <sz val="9"/>
      <name val="宋体"/>
      <family val="3"/>
      <charset val="134"/>
    </font>
    <font>
      <b/>
      <sz val="14"/>
      <name val="华文楷体"/>
      <family val="3"/>
      <charset val="134"/>
    </font>
    <font>
      <b/>
      <sz val="11"/>
      <color theme="1"/>
      <name val="宋体"/>
      <family val="2"/>
      <scheme val="minor"/>
    </font>
    <font>
      <sz val="12"/>
      <color theme="1"/>
      <name val="宋体"/>
      <family val="2"/>
      <scheme val="minor"/>
    </font>
    <font>
      <sz val="9"/>
      <name val="新細明體"/>
      <family val="1"/>
      <charset val="136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name val="隶书"/>
      <family val="3"/>
      <charset val="134"/>
    </font>
    <font>
      <b/>
      <sz val="18"/>
      <name val="华文楷体"/>
      <family val="3"/>
      <charset val="134"/>
    </font>
    <font>
      <b/>
      <sz val="16"/>
      <color theme="1"/>
      <name val="楷体"/>
      <family val="3"/>
      <charset val="134"/>
    </font>
    <font>
      <b/>
      <sz val="16"/>
      <color theme="1"/>
      <name val="宋体"/>
      <family val="2"/>
      <scheme val="minor"/>
    </font>
    <font>
      <b/>
      <sz val="16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6"/>
      <color indexed="63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49" fontId="0" fillId="0" borderId="0" xfId="0" applyNumberFormat="1" applyBorder="1" applyAlignment="1">
      <alignment horizontal="left"/>
    </xf>
    <xf numFmtId="0" fontId="0" fillId="0" borderId="0" xfId="0" applyBorder="1"/>
    <xf numFmtId="0" fontId="5" fillId="0" borderId="0" xfId="0" applyFont="1" applyBorder="1"/>
    <xf numFmtId="178" fontId="0" fillId="0" borderId="0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8" fillId="0" borderId="0" xfId="0" applyFont="1"/>
    <xf numFmtId="0" fontId="9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177" fontId="9" fillId="0" borderId="0" xfId="0" applyNumberFormat="1" applyFont="1" applyAlignment="1">
      <alignment horizontal="center"/>
    </xf>
    <xf numFmtId="176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0" xfId="0" applyFont="1"/>
    <xf numFmtId="31" fontId="9" fillId="0" borderId="0" xfId="0" applyNumberFormat="1" applyFont="1"/>
    <xf numFmtId="0" fontId="9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179" fontId="13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80" fontId="14" fillId="0" borderId="0" xfId="0" applyNumberFormat="1" applyFont="1" applyBorder="1" applyAlignment="1">
      <alignment horizontal="center" vertical="center"/>
    </xf>
    <xf numFmtId="20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81" fontId="9" fillId="0" borderId="0" xfId="0" applyNumberFormat="1" applyFont="1" applyBorder="1"/>
    <xf numFmtId="182" fontId="9" fillId="0" borderId="0" xfId="0" applyNumberFormat="1" applyFont="1" applyBorder="1"/>
    <xf numFmtId="0" fontId="9" fillId="0" borderId="0" xfId="0" applyFont="1" applyBorder="1"/>
    <xf numFmtId="176" fontId="9" fillId="0" borderId="0" xfId="0" applyNumberFormat="1" applyFont="1" applyBorder="1"/>
    <xf numFmtId="0" fontId="15" fillId="0" borderId="0" xfId="0" applyFont="1"/>
    <xf numFmtId="0" fontId="16" fillId="0" borderId="1" xfId="1" applyFont="1" applyBorder="1" applyAlignment="1">
      <alignment horizontal="center" vertical="center" wrapText="1"/>
    </xf>
    <xf numFmtId="9" fontId="16" fillId="0" borderId="1" xfId="2" applyFont="1" applyBorder="1" applyAlignment="1">
      <alignment horizontal="center" vertical="center" wrapText="1"/>
    </xf>
    <xf numFmtId="0" fontId="9" fillId="0" borderId="1" xfId="0" applyFont="1" applyBorder="1"/>
    <xf numFmtId="178" fontId="9" fillId="0" borderId="1" xfId="0" applyNumberFormat="1" applyFont="1" applyBorder="1"/>
    <xf numFmtId="49" fontId="9" fillId="0" borderId="1" xfId="0" applyNumberFormat="1" applyFont="1" applyBorder="1" applyAlignment="1">
      <alignment horizontal="left"/>
    </xf>
    <xf numFmtId="183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182" fontId="0" fillId="0" borderId="0" xfId="0" applyNumberFormat="1"/>
    <xf numFmtId="0" fontId="13" fillId="0" borderId="0" xfId="0" applyFont="1" applyFill="1" applyBorder="1" applyAlignment="1">
      <alignment horizontal="center"/>
    </xf>
    <xf numFmtId="179" fontId="0" fillId="0" borderId="0" xfId="0" applyNumberFormat="1" applyAlignment="1">
      <alignment horizontal="left"/>
    </xf>
    <xf numFmtId="0" fontId="17" fillId="0" borderId="0" xfId="0" applyNumberFormat="1" applyFont="1"/>
    <xf numFmtId="0" fontId="17" fillId="0" borderId="0" xfId="0" applyFont="1"/>
    <xf numFmtId="182" fontId="18" fillId="0" borderId="0" xfId="0" applyNumberFormat="1" applyFont="1"/>
    <xf numFmtId="179" fontId="17" fillId="0" borderId="0" xfId="0" applyNumberFormat="1" applyFont="1"/>
    <xf numFmtId="184" fontId="0" fillId="0" borderId="0" xfId="0" applyNumberForma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3">
    <cellStyle name="百分比 2" xfId="2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[工资管理系统—巩.xlsx]透视表!数据透视表3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透视表!$B$1:$B$2</c:f>
              <c:strCache>
                <c:ptCount val="1"/>
                <c:pt idx="0">
                  <c:v>财务部</c:v>
                </c:pt>
              </c:strCache>
            </c:strRef>
          </c:tx>
          <c:invertIfNegative val="0"/>
          <c:cat>
            <c:strRef>
              <c:f>透视表!$A$3:$A$11</c:f>
              <c:strCache>
                <c:ptCount val="8"/>
                <c:pt idx="0">
                  <c:v>部门经理</c:v>
                </c:pt>
                <c:pt idx="1">
                  <c:v>出纳</c:v>
                </c:pt>
                <c:pt idx="2">
                  <c:v>广告策划</c:v>
                </c:pt>
                <c:pt idx="3">
                  <c:v>会计</c:v>
                </c:pt>
                <c:pt idx="4">
                  <c:v>技术工人</c:v>
                </c:pt>
                <c:pt idx="5">
                  <c:v>技术员</c:v>
                </c:pt>
                <c:pt idx="6">
                  <c:v>业务员</c:v>
                </c:pt>
                <c:pt idx="7">
                  <c:v>预算员</c:v>
                </c:pt>
              </c:strCache>
            </c:strRef>
          </c:cat>
          <c:val>
            <c:numRef>
              <c:f>透视表!$B$3:$B$11</c:f>
              <c:numCache>
                <c:formatCode>General</c:formatCode>
                <c:ptCount val="8"/>
                <c:pt idx="0">
                  <c:v>4150.5401999999995</c:v>
                </c:pt>
                <c:pt idx="1">
                  <c:v>3229.2</c:v>
                </c:pt>
                <c:pt idx="3">
                  <c:v>3200.34</c:v>
                </c:pt>
                <c:pt idx="7">
                  <c:v>4160.3760000000002</c:v>
                </c:pt>
              </c:numCache>
            </c:numRef>
          </c:val>
        </c:ser>
        <c:ser>
          <c:idx val="1"/>
          <c:order val="1"/>
          <c:tx>
            <c:strRef>
              <c:f>透视表!$C$1:$C$2</c:f>
              <c:strCache>
                <c:ptCount val="1"/>
                <c:pt idx="0">
                  <c:v>企划部</c:v>
                </c:pt>
              </c:strCache>
            </c:strRef>
          </c:tx>
          <c:invertIfNegative val="0"/>
          <c:cat>
            <c:strRef>
              <c:f>透视表!$A$3:$A$11</c:f>
              <c:strCache>
                <c:ptCount val="8"/>
                <c:pt idx="0">
                  <c:v>部门经理</c:v>
                </c:pt>
                <c:pt idx="1">
                  <c:v>出纳</c:v>
                </c:pt>
                <c:pt idx="2">
                  <c:v>广告策划</c:v>
                </c:pt>
                <c:pt idx="3">
                  <c:v>会计</c:v>
                </c:pt>
                <c:pt idx="4">
                  <c:v>技术工人</c:v>
                </c:pt>
                <c:pt idx="5">
                  <c:v>技术员</c:v>
                </c:pt>
                <c:pt idx="6">
                  <c:v>业务员</c:v>
                </c:pt>
                <c:pt idx="7">
                  <c:v>预算员</c:v>
                </c:pt>
              </c:strCache>
            </c:strRef>
          </c:cat>
          <c:val>
            <c:numRef>
              <c:f>透视表!$C$3:$C$11</c:f>
              <c:numCache>
                <c:formatCode>General</c:formatCode>
                <c:ptCount val="8"/>
                <c:pt idx="0">
                  <c:v>2935.14</c:v>
                </c:pt>
                <c:pt idx="2">
                  <c:v>10118.939999999999</c:v>
                </c:pt>
              </c:numCache>
            </c:numRef>
          </c:val>
        </c:ser>
        <c:ser>
          <c:idx val="2"/>
          <c:order val="2"/>
          <c:tx>
            <c:strRef>
              <c:f>透视表!$D$1:$D$2</c:f>
              <c:strCache>
                <c:ptCount val="1"/>
                <c:pt idx="0">
                  <c:v>生产部</c:v>
                </c:pt>
              </c:strCache>
            </c:strRef>
          </c:tx>
          <c:invertIfNegative val="0"/>
          <c:cat>
            <c:strRef>
              <c:f>透视表!$A$3:$A$11</c:f>
              <c:strCache>
                <c:ptCount val="8"/>
                <c:pt idx="0">
                  <c:v>部门经理</c:v>
                </c:pt>
                <c:pt idx="1">
                  <c:v>出纳</c:v>
                </c:pt>
                <c:pt idx="2">
                  <c:v>广告策划</c:v>
                </c:pt>
                <c:pt idx="3">
                  <c:v>会计</c:v>
                </c:pt>
                <c:pt idx="4">
                  <c:v>技术工人</c:v>
                </c:pt>
                <c:pt idx="5">
                  <c:v>技术员</c:v>
                </c:pt>
                <c:pt idx="6">
                  <c:v>业务员</c:v>
                </c:pt>
                <c:pt idx="7">
                  <c:v>预算员</c:v>
                </c:pt>
              </c:strCache>
            </c:strRef>
          </c:cat>
          <c:val>
            <c:numRef>
              <c:f>透视表!$D$3:$D$11</c:f>
              <c:numCache>
                <c:formatCode>General</c:formatCode>
                <c:ptCount val="8"/>
                <c:pt idx="0">
                  <c:v>3782.076</c:v>
                </c:pt>
                <c:pt idx="4">
                  <c:v>2566.1999999999998</c:v>
                </c:pt>
                <c:pt idx="5">
                  <c:v>2919.54</c:v>
                </c:pt>
              </c:numCache>
            </c:numRef>
          </c:val>
        </c:ser>
        <c:ser>
          <c:idx val="3"/>
          <c:order val="3"/>
          <c:tx>
            <c:strRef>
              <c:f>透视表!$E$1:$E$2</c:f>
              <c:strCache>
                <c:ptCount val="1"/>
                <c:pt idx="0">
                  <c:v>销售部</c:v>
                </c:pt>
              </c:strCache>
            </c:strRef>
          </c:tx>
          <c:invertIfNegative val="0"/>
          <c:cat>
            <c:strRef>
              <c:f>透视表!$A$3:$A$11</c:f>
              <c:strCache>
                <c:ptCount val="8"/>
                <c:pt idx="0">
                  <c:v>部门经理</c:v>
                </c:pt>
                <c:pt idx="1">
                  <c:v>出纳</c:v>
                </c:pt>
                <c:pt idx="2">
                  <c:v>广告策划</c:v>
                </c:pt>
                <c:pt idx="3">
                  <c:v>会计</c:v>
                </c:pt>
                <c:pt idx="4">
                  <c:v>技术工人</c:v>
                </c:pt>
                <c:pt idx="5">
                  <c:v>技术员</c:v>
                </c:pt>
                <c:pt idx="6">
                  <c:v>业务员</c:v>
                </c:pt>
                <c:pt idx="7">
                  <c:v>预算员</c:v>
                </c:pt>
              </c:strCache>
            </c:strRef>
          </c:cat>
          <c:val>
            <c:numRef>
              <c:f>透视表!$E$3:$E$11</c:f>
              <c:numCache>
                <c:formatCode>General</c:formatCode>
                <c:ptCount val="8"/>
                <c:pt idx="0">
                  <c:v>4561.3739999999998</c:v>
                </c:pt>
                <c:pt idx="6">
                  <c:v>7987.2000000000007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352448"/>
        <c:axId val="157557888"/>
      </c:barChart>
      <c:catAx>
        <c:axId val="219352448"/>
        <c:scaling>
          <c:orientation val="minMax"/>
        </c:scaling>
        <c:delete val="0"/>
        <c:axPos val="b"/>
        <c:majorTickMark val="out"/>
        <c:minorTickMark val="none"/>
        <c:tickLblPos val="nextTo"/>
        <c:crossAx val="157557888"/>
        <c:crosses val="autoZero"/>
        <c:auto val="1"/>
        <c:lblAlgn val="ctr"/>
        <c:lblOffset val="100"/>
        <c:noMultiLvlLbl val="0"/>
      </c:catAx>
      <c:valAx>
        <c:axId val="157557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9352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80962</xdr:rowOff>
    </xdr:from>
    <xdr:to>
      <xdr:col>5</xdr:col>
      <xdr:colOff>323025</xdr:colOff>
      <xdr:row>31</xdr:row>
      <xdr:rowOff>82312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cel&#22806;&#20986;&#35762;&#35838;&#35838;&#20214;/EXCEL&#22312;&#36130;&#21153;&#20013;&#30340;&#24212;&#29992;&#31532;&#22235;&#29256;/EXCEL&#22312;&#36130;&#21153;&#20013;&#30340;&#24212;&#29992;&#31532;&#22235;&#29256;/Excel&#22312;&#36130;&#21153;&#20013;&#30340;&#24212;&#29992;&#31532;&#22235;&#29256;&#25945;&#26448;&#26696;&#20363;&#28304;&#25991;&#20214;/3/60/&#24037;&#36164;&#26680;&#31639;&#31995;&#3247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24037;&#36164;&#26680;&#31639;&#31995;&#32479;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资料表"/>
      <sheetName val="部门统计"/>
      <sheetName val="年假规则表"/>
      <sheetName val="工资调整"/>
      <sheetName val="加班记录"/>
      <sheetName val="工资明细表"/>
      <sheetName val="工资条"/>
      <sheetName val="请假记录"/>
    </sheetNames>
    <sheetDataSet>
      <sheetData sheetId="0"/>
      <sheetData sheetId="1"/>
      <sheetData sheetId="2">
        <row r="2">
          <cell r="A2" t="str">
            <v>工龄</v>
          </cell>
          <cell r="B2" t="str">
            <v>年假（天）</v>
          </cell>
        </row>
        <row r="3">
          <cell r="A3">
            <v>0</v>
          </cell>
          <cell r="B3">
            <v>0</v>
          </cell>
        </row>
        <row r="4">
          <cell r="A4">
            <v>1</v>
          </cell>
          <cell r="B4">
            <v>15</v>
          </cell>
        </row>
        <row r="5">
          <cell r="A5">
            <v>2</v>
          </cell>
          <cell r="B5">
            <v>16</v>
          </cell>
        </row>
        <row r="6">
          <cell r="A6">
            <v>3</v>
          </cell>
          <cell r="B6">
            <v>17</v>
          </cell>
        </row>
        <row r="7">
          <cell r="A7">
            <v>4</v>
          </cell>
          <cell r="B7">
            <v>18</v>
          </cell>
        </row>
        <row r="8">
          <cell r="A8">
            <v>5</v>
          </cell>
          <cell r="B8">
            <v>19</v>
          </cell>
        </row>
        <row r="9">
          <cell r="A9">
            <v>6</v>
          </cell>
          <cell r="B9">
            <v>20</v>
          </cell>
        </row>
        <row r="10">
          <cell r="A10">
            <v>7</v>
          </cell>
          <cell r="B10">
            <v>20</v>
          </cell>
        </row>
        <row r="11">
          <cell r="A11">
            <v>8</v>
          </cell>
          <cell r="B11">
            <v>20</v>
          </cell>
        </row>
        <row r="12">
          <cell r="A12">
            <v>9</v>
          </cell>
          <cell r="B12">
            <v>20</v>
          </cell>
        </row>
        <row r="13">
          <cell r="A13">
            <v>10</v>
          </cell>
          <cell r="B13">
            <v>30</v>
          </cell>
        </row>
        <row r="14">
          <cell r="A14">
            <v>11</v>
          </cell>
          <cell r="B14">
            <v>30</v>
          </cell>
        </row>
      </sheetData>
      <sheetData sheetId="3">
        <row r="3">
          <cell r="A3" t="str">
            <v>员工编号</v>
          </cell>
          <cell r="B3" t="str">
            <v>姓名</v>
          </cell>
          <cell r="C3" t="str">
            <v>性别</v>
          </cell>
          <cell r="D3" t="str">
            <v>入职时间</v>
          </cell>
          <cell r="E3" t="str">
            <v>所属部门</v>
          </cell>
          <cell r="F3" t="str">
            <v>职工类别</v>
          </cell>
          <cell r="G3" t="str">
            <v>调整年</v>
          </cell>
          <cell r="H3" t="str">
            <v>调整月</v>
          </cell>
          <cell r="I3" t="str">
            <v>调整工资</v>
          </cell>
        </row>
        <row r="4">
          <cell r="A4" t="str">
            <v>0001</v>
          </cell>
          <cell r="B4" t="str">
            <v>王晓东</v>
          </cell>
          <cell r="C4" t="str">
            <v>男</v>
          </cell>
          <cell r="D4">
            <v>36530</v>
          </cell>
          <cell r="E4" t="str">
            <v>企划部</v>
          </cell>
          <cell r="F4" t="str">
            <v>广告策划</v>
          </cell>
          <cell r="G4">
            <v>2002</v>
          </cell>
          <cell r="H4">
            <v>12</v>
          </cell>
          <cell r="I4">
            <v>4000</v>
          </cell>
        </row>
        <row r="5">
          <cell r="A5" t="str">
            <v>0002</v>
          </cell>
          <cell r="B5" t="str">
            <v>马一鸣</v>
          </cell>
          <cell r="C5" t="str">
            <v>男</v>
          </cell>
          <cell r="D5">
            <v>36800</v>
          </cell>
          <cell r="E5" t="str">
            <v>企划部</v>
          </cell>
          <cell r="F5" t="str">
            <v>广告策划</v>
          </cell>
          <cell r="G5">
            <v>2003</v>
          </cell>
          <cell r="H5">
            <v>6</v>
          </cell>
          <cell r="I5">
            <v>4000</v>
          </cell>
        </row>
        <row r="6">
          <cell r="A6" t="str">
            <v>0003</v>
          </cell>
          <cell r="B6" t="str">
            <v>李芳</v>
          </cell>
          <cell r="C6" t="str">
            <v>女</v>
          </cell>
          <cell r="D6">
            <v>35224</v>
          </cell>
          <cell r="E6" t="str">
            <v>财务部</v>
          </cell>
          <cell r="F6" t="str">
            <v>部门经理</v>
          </cell>
          <cell r="G6">
            <v>2006</v>
          </cell>
          <cell r="H6">
            <v>1</v>
          </cell>
          <cell r="I6">
            <v>5000</v>
          </cell>
        </row>
        <row r="7">
          <cell r="A7" t="str">
            <v>0004</v>
          </cell>
          <cell r="B7" t="str">
            <v>任可</v>
          </cell>
          <cell r="C7" t="str">
            <v>女</v>
          </cell>
          <cell r="D7">
            <v>37016</v>
          </cell>
          <cell r="E7" t="str">
            <v>销售部</v>
          </cell>
          <cell r="F7" t="str">
            <v>业务员</v>
          </cell>
          <cell r="G7">
            <v>2005</v>
          </cell>
          <cell r="H7">
            <v>1</v>
          </cell>
          <cell r="I7">
            <v>3000</v>
          </cell>
        </row>
        <row r="8">
          <cell r="A8" t="str">
            <v>0005</v>
          </cell>
          <cell r="B8" t="str">
            <v>潘涛</v>
          </cell>
          <cell r="C8" t="str">
            <v>男</v>
          </cell>
          <cell r="D8">
            <v>35784</v>
          </cell>
          <cell r="E8" t="str">
            <v>生产部</v>
          </cell>
          <cell r="F8" t="str">
            <v>部门经理</v>
          </cell>
          <cell r="G8">
            <v>2002</v>
          </cell>
          <cell r="H8">
            <v>12</v>
          </cell>
          <cell r="I8">
            <v>4500</v>
          </cell>
        </row>
        <row r="9">
          <cell r="A9" t="str">
            <v>0006</v>
          </cell>
          <cell r="B9" t="str">
            <v>邹燕燕</v>
          </cell>
          <cell r="C9" t="str">
            <v>女</v>
          </cell>
          <cell r="D9">
            <v>38137</v>
          </cell>
          <cell r="E9" t="str">
            <v>财务部</v>
          </cell>
          <cell r="F9" t="str">
            <v>会计</v>
          </cell>
          <cell r="G9">
            <v>2003</v>
          </cell>
          <cell r="H9">
            <v>6</v>
          </cell>
          <cell r="I9">
            <v>3800</v>
          </cell>
        </row>
        <row r="10">
          <cell r="A10" t="str">
            <v>0007</v>
          </cell>
          <cell r="B10" t="str">
            <v>孙晓凡</v>
          </cell>
          <cell r="C10" t="str">
            <v>女</v>
          </cell>
          <cell r="D10">
            <v>37810</v>
          </cell>
          <cell r="E10" t="str">
            <v>生产部</v>
          </cell>
          <cell r="F10" t="str">
            <v>技术员</v>
          </cell>
          <cell r="G10">
            <v>2006</v>
          </cell>
          <cell r="H10">
            <v>4</v>
          </cell>
          <cell r="I10">
            <v>3500</v>
          </cell>
        </row>
        <row r="11">
          <cell r="A11" t="str">
            <v>0008</v>
          </cell>
          <cell r="B11" t="str">
            <v>赵文彬</v>
          </cell>
          <cell r="C11" t="str">
            <v>男</v>
          </cell>
          <cell r="D11">
            <v>37509</v>
          </cell>
          <cell r="E11" t="str">
            <v>销售部</v>
          </cell>
          <cell r="F11" t="str">
            <v>业务员</v>
          </cell>
          <cell r="G11">
            <v>2006</v>
          </cell>
          <cell r="H11">
            <v>1</v>
          </cell>
          <cell r="I11">
            <v>3000</v>
          </cell>
        </row>
        <row r="12">
          <cell r="A12" t="str">
            <v>0009</v>
          </cell>
          <cell r="B12" t="str">
            <v>邱秀丽</v>
          </cell>
          <cell r="C12" t="str">
            <v>女</v>
          </cell>
          <cell r="D12">
            <v>39668</v>
          </cell>
          <cell r="E12" t="str">
            <v>财务部</v>
          </cell>
          <cell r="F12" t="str">
            <v>预算员</v>
          </cell>
          <cell r="G12">
            <v>2005</v>
          </cell>
          <cell r="H12">
            <v>5</v>
          </cell>
          <cell r="I12">
            <v>5000</v>
          </cell>
        </row>
        <row r="13">
          <cell r="A13" t="str">
            <v>0010</v>
          </cell>
          <cell r="B13" t="str">
            <v>王心萍</v>
          </cell>
          <cell r="C13" t="str">
            <v>女</v>
          </cell>
          <cell r="D13">
            <v>36683</v>
          </cell>
          <cell r="E13" t="str">
            <v>财务部</v>
          </cell>
          <cell r="F13" t="str">
            <v>出纳</v>
          </cell>
          <cell r="G13">
            <v>2005</v>
          </cell>
          <cell r="H13">
            <v>5</v>
          </cell>
          <cell r="I13">
            <v>4000</v>
          </cell>
        </row>
        <row r="14">
          <cell r="A14" t="str">
            <v>0011</v>
          </cell>
          <cell r="B14" t="str">
            <v>宋辉</v>
          </cell>
          <cell r="C14" t="str">
            <v>女</v>
          </cell>
          <cell r="D14">
            <v>35494</v>
          </cell>
          <cell r="E14" t="str">
            <v>企划部</v>
          </cell>
          <cell r="F14" t="str">
            <v>部门经理</v>
          </cell>
          <cell r="G14">
            <v>2005</v>
          </cell>
          <cell r="H14">
            <v>5</v>
          </cell>
          <cell r="I14">
            <v>3500</v>
          </cell>
        </row>
        <row r="15">
          <cell r="A15" t="str">
            <v>0012</v>
          </cell>
          <cell r="B15" t="str">
            <v>高明</v>
          </cell>
          <cell r="C15" t="str">
            <v>男</v>
          </cell>
          <cell r="D15">
            <v>34700</v>
          </cell>
          <cell r="E15" t="str">
            <v>销售部</v>
          </cell>
          <cell r="F15" t="str">
            <v>部门经理</v>
          </cell>
          <cell r="G15">
            <v>2005</v>
          </cell>
          <cell r="H15">
            <v>5</v>
          </cell>
          <cell r="I15">
            <v>5500</v>
          </cell>
        </row>
        <row r="16">
          <cell r="A16" t="str">
            <v>0013</v>
          </cell>
          <cell r="B16" t="str">
            <v>张瑞峰</v>
          </cell>
          <cell r="C16" t="str">
            <v>男</v>
          </cell>
          <cell r="D16">
            <v>36524</v>
          </cell>
          <cell r="E16" t="str">
            <v>销售部</v>
          </cell>
          <cell r="F16" t="str">
            <v>业务员</v>
          </cell>
          <cell r="G16">
            <v>2002</v>
          </cell>
          <cell r="H16">
            <v>12</v>
          </cell>
          <cell r="I16">
            <v>3000</v>
          </cell>
        </row>
        <row r="17">
          <cell r="A17" t="str">
            <v>0014</v>
          </cell>
          <cell r="B17" t="str">
            <v>齐敏</v>
          </cell>
          <cell r="C17" t="str">
            <v>男</v>
          </cell>
          <cell r="D17">
            <v>38594</v>
          </cell>
          <cell r="E17" t="str">
            <v>企划部</v>
          </cell>
          <cell r="F17" t="str">
            <v>广告策划</v>
          </cell>
          <cell r="G17">
            <v>2006</v>
          </cell>
          <cell r="H17">
            <v>1</v>
          </cell>
          <cell r="I17">
            <v>3800</v>
          </cell>
        </row>
        <row r="18">
          <cell r="A18" t="str">
            <v>0015</v>
          </cell>
          <cell r="B18" t="str">
            <v>耿小龙</v>
          </cell>
          <cell r="C18" t="str">
            <v>男</v>
          </cell>
          <cell r="D18">
            <v>38718</v>
          </cell>
          <cell r="E18" t="str">
            <v>生产部</v>
          </cell>
          <cell r="F18" t="str">
            <v>技术工人</v>
          </cell>
          <cell r="G18">
            <v>2006</v>
          </cell>
          <cell r="H18">
            <v>4</v>
          </cell>
          <cell r="I18">
            <v>3000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资料表"/>
      <sheetName val="部门统计"/>
      <sheetName val="年假规则"/>
      <sheetName val="工资调整"/>
      <sheetName val="加班记录"/>
      <sheetName val="工资明细表"/>
      <sheetName val="工资条"/>
      <sheetName val="请假记录"/>
    </sheetNames>
    <sheetDataSet>
      <sheetData sheetId="0" refreshError="1"/>
      <sheetData sheetId="1" refreshError="1"/>
      <sheetData sheetId="2" refreshError="1">
        <row r="1">
          <cell r="A1">
            <v>0</v>
          </cell>
          <cell r="B1">
            <v>0</v>
          </cell>
        </row>
        <row r="2">
          <cell r="A2">
            <v>1</v>
          </cell>
          <cell r="B2">
            <v>15</v>
          </cell>
        </row>
        <row r="3">
          <cell r="A3">
            <v>2</v>
          </cell>
          <cell r="B3">
            <v>16</v>
          </cell>
        </row>
        <row r="4">
          <cell r="A4">
            <v>3</v>
          </cell>
          <cell r="B4">
            <v>17</v>
          </cell>
        </row>
        <row r="5">
          <cell r="A5">
            <v>4</v>
          </cell>
          <cell r="B5">
            <v>18</v>
          </cell>
        </row>
        <row r="6">
          <cell r="A6">
            <v>5</v>
          </cell>
          <cell r="B6">
            <v>19</v>
          </cell>
        </row>
        <row r="7">
          <cell r="A7">
            <v>6</v>
          </cell>
          <cell r="B7">
            <v>20</v>
          </cell>
        </row>
        <row r="8">
          <cell r="A8">
            <v>7</v>
          </cell>
          <cell r="B8">
            <v>20</v>
          </cell>
        </row>
        <row r="9">
          <cell r="A9">
            <v>8</v>
          </cell>
          <cell r="B9">
            <v>20</v>
          </cell>
        </row>
        <row r="10">
          <cell r="A10">
            <v>9</v>
          </cell>
          <cell r="B10">
            <v>20</v>
          </cell>
        </row>
        <row r="11">
          <cell r="A11">
            <v>10</v>
          </cell>
          <cell r="B11">
            <v>30</v>
          </cell>
        </row>
        <row r="12">
          <cell r="A12">
            <v>11</v>
          </cell>
          <cell r="B12">
            <v>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作者" refreshedDate="43170.730130208336" createdVersion="4" refreshedVersion="4" minRefreshableVersion="3" recordCount="15">
  <cacheSource type="worksheet">
    <worksheetSource ref="A1:P16" sheet="工资明细表"/>
  </cacheSource>
  <cacheFields count="16">
    <cacheField name="员工编号" numFmtId="49">
      <sharedItems count="15">
        <s v="0001"/>
        <s v="0002"/>
        <s v="0003"/>
        <s v="0004"/>
        <s v="0005"/>
        <s v="0006"/>
        <s v="0007"/>
        <s v="0008"/>
        <s v="0009"/>
        <s v="0010"/>
        <s v="0011"/>
        <s v="0012"/>
        <s v="0013"/>
        <s v="0014"/>
        <s v="0015"/>
      </sharedItems>
    </cacheField>
    <cacheField name="姓名" numFmtId="0">
      <sharedItems/>
    </cacheField>
    <cacheField name="所属部门" numFmtId="0">
      <sharedItems count="4">
        <s v="企划部"/>
        <s v="财务部"/>
        <s v="销售部"/>
        <s v="生产部"/>
      </sharedItems>
    </cacheField>
    <cacheField name="职工类别" numFmtId="0">
      <sharedItems count="8">
        <s v="广告策划"/>
        <s v="部门经理"/>
        <s v="业务员"/>
        <s v="会计"/>
        <s v="技术员"/>
        <s v="预算员"/>
        <s v="出纳"/>
        <s v="技术工人"/>
      </sharedItems>
    </cacheField>
    <cacheField name="基本工资" numFmtId="178">
      <sharedItems containsSemiMixedTypes="0" containsString="0" containsNumber="1" containsInteger="1" minValue="3000" maxValue="5500"/>
    </cacheField>
    <cacheField name="奖金" numFmtId="178">
      <sharedItems containsSemiMixedTypes="0" containsString="0" containsNumber="1" containsInteger="1" minValue="0" maxValue="200"/>
    </cacheField>
    <cacheField name="补贴" numFmtId="178">
      <sharedItems containsSemiMixedTypes="0" containsString="0" containsNumber="1" containsInteger="1" minValue="100" maxValue="300"/>
    </cacheField>
    <cacheField name="加班费" numFmtId="178">
      <sharedItems containsSemiMixedTypes="0" containsString="0" containsNumber="1" containsInteger="1" minValue="40" maxValue="80"/>
    </cacheField>
    <cacheField name="缺勤扣款" numFmtId="178">
      <sharedItems containsSemiMixedTypes="0" containsString="0" containsNumber="1" containsInteger="1" minValue="0" maxValue="200"/>
    </cacheField>
    <cacheField name="应发工资" numFmtId="178">
      <sharedItems containsSemiMixedTypes="0" containsString="0" containsNumber="1" containsInteger="1" minValue="3290" maxValue="5890"/>
    </cacheField>
    <cacheField name="养老保险" numFmtId="0">
      <sharedItems containsSemiMixedTypes="0" containsString="0" containsNumber="1" minValue="263.2" maxValue="471.2"/>
    </cacheField>
    <cacheField name="医疗保险" numFmtId="0">
      <sharedItems containsSemiMixedTypes="0" containsString="0" containsNumber="1" minValue="65.8" maxValue="117.8"/>
    </cacheField>
    <cacheField name="住房公积金" numFmtId="0">
      <sharedItems containsSemiMixedTypes="0" containsString="0" containsNumber="1" minValue="394.8" maxValue="706.8"/>
    </cacheField>
    <cacheField name="应税工资" numFmtId="178">
      <sharedItems containsSemiMixedTypes="0" containsString="0" containsNumber="1" minValue="2566.1999999999998" maxValue="4594.2"/>
    </cacheField>
    <cacheField name="所得税" numFmtId="178">
      <sharedItems containsSemiMixedTypes="0" containsString="0" containsNumber="1" minValue="0" maxValue="32.825999999999993"/>
    </cacheField>
    <cacheField name="实发工资" numFmtId="178">
      <sharedItems containsSemiMixedTypes="0" containsString="0" containsNumber="1" minValue="2566.1999999999998" maxValue="4561.37399999999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作者" refreshedDate="43230.990510648146" createdVersion="4" refreshedVersion="4" minRefreshableVersion="3" recordCount="16">
  <cacheSource type="worksheet">
    <worksheetSource ref="A1:I17" sheet="加班记录"/>
  </cacheSource>
  <cacheFields count="9">
    <cacheField name="员工编号" numFmtId="179">
      <sharedItems containsSemiMixedTypes="0" containsString="0" containsNumber="1" containsInteger="1" minValue="1" maxValue="15" count="1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</sharedItems>
    </cacheField>
    <cacheField name="姓名" numFmtId="0">
      <sharedItems count="15">
        <s v="王晓东"/>
        <s v="马一鸣"/>
        <s v="李芳"/>
        <s v="任可"/>
        <s v="潘涛"/>
        <s v="邹燕燕"/>
        <s v="孙晓凡"/>
        <s v="赵文彬"/>
        <s v="邱秀丽"/>
        <s v="王心萍"/>
        <s v="宋辉"/>
        <s v="高明"/>
        <s v="张瑞峰"/>
        <s v="齐敏"/>
        <s v="耿小龙"/>
      </sharedItems>
    </cacheField>
    <cacheField name="性别" numFmtId="0">
      <sharedItems/>
    </cacheField>
    <cacheField name="所属部门" numFmtId="0">
      <sharedItems/>
    </cacheField>
    <cacheField name="职工类别" numFmtId="0">
      <sharedItems/>
    </cacheField>
    <cacheField name="日期" numFmtId="0">
      <sharedItems/>
    </cacheField>
    <cacheField name="开始时间" numFmtId="180">
      <sharedItems containsSemiMixedTypes="0" containsNonDate="0" containsDate="1" containsString="0" minDate="1899-12-30T08:00:00" maxDate="1899-12-30T17:30:00"/>
    </cacheField>
    <cacheField name="结束时间" numFmtId="20">
      <sharedItems containsSemiMixedTypes="0" containsNonDate="0" containsDate="1" containsString="0" minDate="1899-12-30T10:30:00" maxDate="1899-12-30T21:00:00"/>
    </cacheField>
    <cacheField name="加班费" numFmtId="182">
      <sharedItems containsSemiMixedTypes="0" containsString="0" containsNumber="1" containsInteger="1" minValue="40" maxValue="80" count="2">
        <n v="40"/>
        <n v="8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">
  <r>
    <x v="0"/>
    <s v="王晓东"/>
    <x v="0"/>
    <x v="0"/>
    <n v="4000"/>
    <n v="200"/>
    <n v="100"/>
    <n v="40"/>
    <n v="67"/>
    <n v="4273"/>
    <n v="341.84000000000003"/>
    <n v="85.460000000000008"/>
    <n v="512.76"/>
    <n v="3332.9399999999996"/>
    <n v="0"/>
    <n v="3332.9399999999996"/>
  </r>
  <r>
    <x v="1"/>
    <s v="马一鸣"/>
    <x v="0"/>
    <x v="0"/>
    <n v="4000"/>
    <n v="200"/>
    <n v="120"/>
    <n v="40"/>
    <n v="0"/>
    <n v="4360"/>
    <n v="348.8"/>
    <n v="87.2"/>
    <n v="523.19999999999993"/>
    <n v="3400.8"/>
    <n v="0"/>
    <n v="3400.8"/>
  </r>
  <r>
    <x v="2"/>
    <s v="李芳"/>
    <x v="1"/>
    <x v="1"/>
    <n v="5000"/>
    <n v="200"/>
    <n v="150"/>
    <n v="80"/>
    <n v="83"/>
    <n v="5347"/>
    <n v="427.76"/>
    <n v="106.94"/>
    <n v="641.64"/>
    <n v="4170.66"/>
    <n v="20.119799999999994"/>
    <n v="4150.5401999999995"/>
  </r>
  <r>
    <x v="3"/>
    <s v="任可"/>
    <x v="2"/>
    <x v="2"/>
    <n v="3000"/>
    <n v="200"/>
    <n v="300"/>
    <n v="80"/>
    <n v="200"/>
    <n v="3380"/>
    <n v="270.39999999999998"/>
    <n v="67.599999999999994"/>
    <n v="405.59999999999997"/>
    <n v="2636.4"/>
    <n v="0"/>
    <n v="2636.4"/>
  </r>
  <r>
    <x v="4"/>
    <s v="潘涛"/>
    <x v="3"/>
    <x v="1"/>
    <n v="4500"/>
    <n v="200"/>
    <n v="120"/>
    <n v="40"/>
    <n v="0"/>
    <n v="4860"/>
    <n v="388.8"/>
    <n v="97.2"/>
    <n v="583.19999999999993"/>
    <n v="3790.8"/>
    <n v="8.7240000000000055"/>
    <n v="3782.076"/>
  </r>
  <r>
    <x v="5"/>
    <s v="邹燕燕"/>
    <x v="1"/>
    <x v="3"/>
    <n v="3800"/>
    <n v="200"/>
    <n v="150"/>
    <n v="80"/>
    <n v="127"/>
    <n v="4103"/>
    <n v="328.24"/>
    <n v="82.06"/>
    <n v="492.35999999999996"/>
    <n v="3200.34"/>
    <n v="0"/>
    <n v="3200.34"/>
  </r>
  <r>
    <x v="6"/>
    <s v="孙晓凡"/>
    <x v="3"/>
    <x v="4"/>
    <n v="3500"/>
    <n v="200"/>
    <n v="120"/>
    <n v="40"/>
    <n v="117"/>
    <n v="3743"/>
    <n v="299.44"/>
    <n v="74.86"/>
    <n v="449.15999999999997"/>
    <n v="2919.54"/>
    <n v="0"/>
    <n v="2919.54"/>
  </r>
  <r>
    <x v="7"/>
    <s v="赵文彬"/>
    <x v="2"/>
    <x v="2"/>
    <n v="3000"/>
    <n v="200"/>
    <n v="300"/>
    <n v="80"/>
    <n v="50"/>
    <n v="3530"/>
    <n v="282.40000000000003"/>
    <n v="70.600000000000009"/>
    <n v="423.59999999999997"/>
    <n v="2753.4"/>
    <n v="0"/>
    <n v="2753.4"/>
  </r>
  <r>
    <x v="8"/>
    <s v="邱秀丽"/>
    <x v="1"/>
    <x v="5"/>
    <n v="5000"/>
    <n v="200"/>
    <n v="120"/>
    <n v="40"/>
    <n v="0"/>
    <n v="5360"/>
    <n v="428.8"/>
    <n v="107.2"/>
    <n v="643.19999999999993"/>
    <n v="4180.8"/>
    <n v="20.424000000000003"/>
    <n v="4160.3760000000002"/>
  </r>
  <r>
    <x v="9"/>
    <s v="王心萍"/>
    <x v="1"/>
    <x v="6"/>
    <n v="4000"/>
    <n v="0"/>
    <n v="300"/>
    <n v="40"/>
    <n v="200"/>
    <n v="4140"/>
    <n v="331.2"/>
    <n v="82.8"/>
    <n v="496.79999999999995"/>
    <n v="3229.2"/>
    <n v="0"/>
    <n v="3229.2"/>
  </r>
  <r>
    <x v="10"/>
    <s v="宋辉"/>
    <x v="0"/>
    <x v="1"/>
    <n v="3500"/>
    <n v="200"/>
    <n v="100"/>
    <n v="80"/>
    <n v="117"/>
    <n v="3763"/>
    <n v="301.04000000000002"/>
    <n v="75.260000000000005"/>
    <n v="451.56"/>
    <n v="2935.14"/>
    <n v="0"/>
    <n v="2935.14"/>
  </r>
  <r>
    <x v="11"/>
    <s v="高明"/>
    <x v="2"/>
    <x v="1"/>
    <n v="5500"/>
    <n v="200"/>
    <n v="150"/>
    <n v="40"/>
    <n v="0"/>
    <n v="5890"/>
    <n v="471.2"/>
    <n v="117.8"/>
    <n v="706.8"/>
    <n v="4594.2"/>
    <n v="32.825999999999993"/>
    <n v="4561.3739999999998"/>
  </r>
  <r>
    <x v="12"/>
    <s v="张瑞峰"/>
    <x v="2"/>
    <x v="2"/>
    <n v="3000"/>
    <n v="200"/>
    <n v="100"/>
    <n v="40"/>
    <n v="10"/>
    <n v="3330"/>
    <n v="266.39999999999998"/>
    <n v="66.599999999999994"/>
    <n v="399.59999999999997"/>
    <n v="2597.4"/>
    <n v="0"/>
    <n v="2597.4"/>
  </r>
  <r>
    <x v="13"/>
    <s v="齐敏"/>
    <x v="0"/>
    <x v="0"/>
    <n v="3800"/>
    <n v="200"/>
    <n v="300"/>
    <n v="40"/>
    <n v="0"/>
    <n v="4340"/>
    <n v="347.2"/>
    <n v="86.8"/>
    <n v="520.79999999999995"/>
    <n v="3385.2"/>
    <n v="0"/>
    <n v="3385.2"/>
  </r>
  <r>
    <x v="14"/>
    <s v="耿小龙"/>
    <x v="3"/>
    <x v="7"/>
    <n v="3000"/>
    <n v="200"/>
    <n v="150"/>
    <n v="40"/>
    <n v="100"/>
    <n v="3290"/>
    <n v="263.2"/>
    <n v="65.8"/>
    <n v="394.8"/>
    <n v="2566.1999999999998"/>
    <n v="0"/>
    <n v="2566.199999999999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6">
  <r>
    <x v="0"/>
    <x v="0"/>
    <s v="男"/>
    <s v="企划部"/>
    <s v="广告策划"/>
    <s v="5日"/>
    <d v="1899-12-30T17:00:00"/>
    <d v="1899-12-30T17:30:00"/>
    <x v="0"/>
  </r>
  <r>
    <x v="0"/>
    <x v="0"/>
    <s v="男"/>
    <s v="企划部"/>
    <s v="广告策划"/>
    <s v="6日"/>
    <d v="1899-12-30T17:00:00"/>
    <d v="1899-12-30T17:30:00"/>
    <x v="0"/>
  </r>
  <r>
    <x v="1"/>
    <x v="1"/>
    <s v="男"/>
    <s v="企划部"/>
    <s v="广告策划"/>
    <s v="5日"/>
    <d v="1899-12-30T17:00:00"/>
    <d v="1899-12-30T17:30:00"/>
    <x v="0"/>
  </r>
  <r>
    <x v="2"/>
    <x v="2"/>
    <s v="女"/>
    <s v="财务部"/>
    <s v="部门经理"/>
    <s v="20日"/>
    <d v="1899-12-30T08:00:00"/>
    <d v="1899-12-30T11:00:00"/>
    <x v="1"/>
  </r>
  <r>
    <x v="3"/>
    <x v="3"/>
    <s v="女"/>
    <s v="销售部"/>
    <s v="业务员"/>
    <s v="25日"/>
    <d v="1899-12-30T17:00:00"/>
    <d v="1899-12-30T20:30:00"/>
    <x v="1"/>
  </r>
  <r>
    <x v="4"/>
    <x v="4"/>
    <s v="男"/>
    <s v="生产部"/>
    <s v="部门经理"/>
    <s v="18日"/>
    <d v="1899-12-30T12:30:00"/>
    <d v="1899-12-30T13:30:00"/>
    <x v="0"/>
  </r>
  <r>
    <x v="5"/>
    <x v="5"/>
    <s v="女"/>
    <s v="财务部"/>
    <s v="会计"/>
    <s v="20日"/>
    <d v="1899-12-30T17:30:00"/>
    <d v="1899-12-30T21:00:00"/>
    <x v="1"/>
  </r>
  <r>
    <x v="6"/>
    <x v="6"/>
    <s v="女"/>
    <s v="生产部"/>
    <s v="技术员"/>
    <s v="8日"/>
    <d v="1899-12-30T12:00:00"/>
    <d v="1899-12-30T13:30:00"/>
    <x v="0"/>
  </r>
  <r>
    <x v="7"/>
    <x v="7"/>
    <s v="男"/>
    <s v="销售部"/>
    <s v="业务员"/>
    <s v="24日"/>
    <d v="1899-12-30T17:00:00"/>
    <d v="1899-12-30T21:00:00"/>
    <x v="1"/>
  </r>
  <r>
    <x v="8"/>
    <x v="8"/>
    <s v="女"/>
    <s v="财务部"/>
    <s v="预算员"/>
    <s v="10日"/>
    <d v="1899-12-30T12:00:00"/>
    <d v="1899-12-30T13:30:00"/>
    <x v="0"/>
  </r>
  <r>
    <x v="9"/>
    <x v="9"/>
    <s v="女"/>
    <s v="财务部"/>
    <s v="出纳"/>
    <s v="21日"/>
    <d v="1899-12-30T17:00:00"/>
    <d v="1899-12-30T17:30:00"/>
    <x v="0"/>
  </r>
  <r>
    <x v="10"/>
    <x v="10"/>
    <s v="女"/>
    <s v="企划部"/>
    <s v="部门经理"/>
    <s v="6日"/>
    <d v="1899-12-30T08:00:00"/>
    <d v="1899-12-30T11:00:00"/>
    <x v="1"/>
  </r>
  <r>
    <x v="11"/>
    <x v="11"/>
    <s v="男"/>
    <s v="销售部"/>
    <s v="部门经理"/>
    <s v="24日"/>
    <d v="1899-12-30T08:00:00"/>
    <d v="1899-12-30T10:30:00"/>
    <x v="0"/>
  </r>
  <r>
    <x v="12"/>
    <x v="12"/>
    <s v="男"/>
    <s v="销售部"/>
    <s v="业务员"/>
    <s v="26日"/>
    <d v="1899-12-30T12:00:00"/>
    <d v="1899-12-30T13:30:00"/>
    <x v="0"/>
  </r>
  <r>
    <x v="13"/>
    <x v="13"/>
    <s v="男"/>
    <s v="企划部"/>
    <s v="广告策划"/>
    <s v="19日"/>
    <d v="1899-12-30T17:30:00"/>
    <d v="1899-12-30T18:30:00"/>
    <x v="0"/>
  </r>
  <r>
    <x v="14"/>
    <x v="14"/>
    <s v="男"/>
    <s v="生产部"/>
    <s v="技术工人"/>
    <s v="7日"/>
    <d v="1899-12-30T12:30:00"/>
    <d v="1899-12-30T13:30: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1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19" firstHeaderRow="1" firstDataRow="1" firstDataCol="1"/>
  <pivotFields count="9">
    <pivotField axis="axisRow" numFmtId="179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showAll="0">
      <items count="16">
        <item x="11"/>
        <item x="14"/>
        <item x="2"/>
        <item x="1"/>
        <item x="4"/>
        <item x="13"/>
        <item x="8"/>
        <item x="3"/>
        <item x="10"/>
        <item x="6"/>
        <item x="0"/>
        <item x="9"/>
        <item x="12"/>
        <item x="7"/>
        <item x="5"/>
        <item t="default"/>
      </items>
    </pivotField>
    <pivotField showAll="0"/>
    <pivotField showAll="0"/>
    <pivotField showAll="0"/>
    <pivotField showAll="0"/>
    <pivotField numFmtId="180" showAll="0"/>
    <pivotField numFmtId="20" showAll="0"/>
    <pivotField dataField="1" numFmtId="182" showAll="0">
      <items count="3">
        <item x="0"/>
        <item x="1"/>
        <item t="default"/>
      </items>
    </pivotField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加班费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3" cacheId="1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19" firstHeaderRow="1" firstDataRow="1" firstDataCol="1"/>
  <pivotFields count="9">
    <pivotField axis="axisRow" numFmtId="179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showAll="0"/>
    <pivotField showAll="0"/>
    <pivotField showAll="0"/>
    <pivotField showAll="0"/>
    <pivotField showAll="0"/>
    <pivotField numFmtId="180" showAll="0"/>
    <pivotField numFmtId="20" showAll="0"/>
    <pivotField dataField="1" numFmtId="182" showAll="0"/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加班费" fld="8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3" cacheId="0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 chartFormat="1">
  <location ref="A1:F11" firstHeaderRow="1" firstDataRow="2" firstDataCol="1"/>
  <pivotFields count="16">
    <pivotField showAll="0"/>
    <pivotField showAll="0"/>
    <pivotField axis="axisCol" showAll="0">
      <items count="5">
        <item x="1"/>
        <item x="0"/>
        <item x="3"/>
        <item x="2"/>
        <item t="default"/>
      </items>
    </pivotField>
    <pivotField axis="axisRow" showAll="0">
      <items count="9">
        <item x="1"/>
        <item x="6"/>
        <item x="0"/>
        <item x="3"/>
        <item x="7"/>
        <item x="4"/>
        <item x="2"/>
        <item x="5"/>
        <item t="default"/>
      </items>
    </pivotField>
    <pivotField numFmtId="178" showAll="0"/>
    <pivotField numFmtId="178" showAll="0"/>
    <pivotField numFmtId="178" showAll="0"/>
    <pivotField numFmtId="178" showAll="0"/>
    <pivotField numFmtId="178" showAll="0"/>
    <pivotField numFmtId="178" showAll="0"/>
    <pivotField showAll="0"/>
    <pivotField showAll="0"/>
    <pivotField showAll="0"/>
    <pivotField numFmtId="178" showAll="0"/>
    <pivotField numFmtId="178" showAll="0"/>
    <pivotField dataField="1" numFmtId="178" showAll="0"/>
  </pivotFields>
  <rowFields count="1">
    <field x="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1">
    <dataField name="求和项:实发工资" fld="15" baseField="0" baseItem="0"/>
  </dataFields>
  <chartFormats count="4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4" cacheId="0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J20" firstHeaderRow="1" firstDataRow="2" firstDataCol="1"/>
  <pivotFields count="16">
    <pivotField axis="axisRow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showAll="0"/>
    <pivotField showAll="0"/>
    <pivotField axis="axisCol" showAll="0">
      <items count="9">
        <item x="1"/>
        <item x="6"/>
        <item x="0"/>
        <item x="3"/>
        <item x="7"/>
        <item x="4"/>
        <item x="2"/>
        <item x="5"/>
        <item t="default"/>
      </items>
    </pivotField>
    <pivotField dataField="1" numFmtId="178" showAll="0"/>
    <pivotField numFmtId="178" showAll="0"/>
    <pivotField numFmtId="178" showAll="0"/>
    <pivotField numFmtId="178" showAll="0"/>
    <pivotField numFmtId="178" showAll="0"/>
    <pivotField numFmtId="178" showAll="0"/>
    <pivotField showAll="0"/>
    <pivotField showAll="0"/>
    <pivotField showAll="0"/>
    <pivotField numFmtId="178" showAll="0"/>
    <pivotField numFmtId="178" showAll="0"/>
    <pivotField numFmtId="178" showAll="0"/>
  </pivotFields>
  <rowFields count="1">
    <field x="0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Fields count="1">
    <field x="3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求和项:基本工资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opLeftCell="D1" workbookViewId="0">
      <selection activeCell="I2" sqref="I2"/>
    </sheetView>
  </sheetViews>
  <sheetFormatPr defaultRowHeight="13.5"/>
  <cols>
    <col min="1" max="1" width="12" customWidth="1"/>
    <col min="3" max="3" width="9" customWidth="1"/>
    <col min="4" max="4" width="19.75" customWidth="1"/>
    <col min="5" max="5" width="14" customWidth="1"/>
    <col min="6" max="6" width="17.25" customWidth="1"/>
    <col min="7" max="7" width="13.5" customWidth="1"/>
    <col min="8" max="8" width="14.5" customWidth="1"/>
    <col min="9" max="9" width="13.375" customWidth="1"/>
    <col min="11" max="11" width="11.625" bestFit="1" customWidth="1"/>
  </cols>
  <sheetData>
    <row r="1" spans="1:11" ht="20.25">
      <c r="A1" s="9" t="s">
        <v>1</v>
      </c>
      <c r="B1" s="9" t="s">
        <v>2</v>
      </c>
      <c r="C1" s="9" t="s">
        <v>3</v>
      </c>
      <c r="D1" s="10" t="s">
        <v>4</v>
      </c>
      <c r="E1" s="9" t="s">
        <v>5</v>
      </c>
      <c r="F1" s="9" t="s">
        <v>6</v>
      </c>
      <c r="G1" s="9" t="s">
        <v>7</v>
      </c>
      <c r="H1" s="9" t="s">
        <v>98</v>
      </c>
      <c r="I1" s="9" t="s">
        <v>99</v>
      </c>
    </row>
    <row r="2" spans="1:11" ht="20.25">
      <c r="A2" s="11" t="s">
        <v>8</v>
      </c>
      <c r="B2" s="9" t="s">
        <v>9</v>
      </c>
      <c r="C2" s="9" t="s">
        <v>10</v>
      </c>
      <c r="D2" s="12">
        <v>35224</v>
      </c>
      <c r="E2" s="9" t="s">
        <v>11</v>
      </c>
      <c r="F2" s="9" t="s">
        <v>12</v>
      </c>
      <c r="G2" s="13">
        <v>3000</v>
      </c>
      <c r="H2" s="14">
        <f t="shared" ref="H2:H16" ca="1" si="0">YEAR(NOW())-YEAR(D2)</f>
        <v>22</v>
      </c>
      <c r="I2" s="15">
        <f t="shared" ref="I2:I16" ca="1" si="1">VLOOKUP(H2,年假规则,2,1)</f>
        <v>30</v>
      </c>
      <c r="K2" s="40">
        <f ca="1">YEAR(NOW())-YEAR(D2)</f>
        <v>22</v>
      </c>
    </row>
    <row r="3" spans="1:11" ht="20.25">
      <c r="A3" s="11" t="s">
        <v>13</v>
      </c>
      <c r="B3" s="9" t="s">
        <v>29</v>
      </c>
      <c r="C3" s="9" t="s">
        <v>30</v>
      </c>
      <c r="D3" s="12">
        <v>38137</v>
      </c>
      <c r="E3" s="9" t="s">
        <v>11</v>
      </c>
      <c r="F3" s="9" t="s">
        <v>31</v>
      </c>
      <c r="G3" s="13">
        <v>1800</v>
      </c>
      <c r="H3" s="14">
        <f t="shared" ca="1" si="0"/>
        <v>14</v>
      </c>
      <c r="I3" s="15">
        <f t="shared" ca="1" si="1"/>
        <v>30</v>
      </c>
      <c r="K3" s="40">
        <f ca="1">YEAR(NOW())-YEAR(D3)</f>
        <v>14</v>
      </c>
    </row>
    <row r="4" spans="1:11" ht="20.25">
      <c r="A4" s="11" t="s">
        <v>14</v>
      </c>
      <c r="B4" s="9" t="s">
        <v>32</v>
      </c>
      <c r="C4" s="9" t="s">
        <v>30</v>
      </c>
      <c r="D4" s="12">
        <v>39668</v>
      </c>
      <c r="E4" s="9" t="s">
        <v>11</v>
      </c>
      <c r="F4" s="9" t="s">
        <v>33</v>
      </c>
      <c r="G4" s="13">
        <v>3000</v>
      </c>
      <c r="H4" s="14">
        <f t="shared" ca="1" si="0"/>
        <v>10</v>
      </c>
      <c r="I4" s="15">
        <f t="shared" ca="1" si="1"/>
        <v>30</v>
      </c>
      <c r="K4" s="40">
        <f ca="1">YEAR(NOW())-YEAR(D4)</f>
        <v>10</v>
      </c>
    </row>
    <row r="5" spans="1:11" ht="20.25">
      <c r="A5" s="11" t="s">
        <v>15</v>
      </c>
      <c r="B5" s="9" t="s">
        <v>34</v>
      </c>
      <c r="C5" s="9" t="s">
        <v>30</v>
      </c>
      <c r="D5" s="12">
        <v>36683</v>
      </c>
      <c r="E5" s="9" t="s">
        <v>11</v>
      </c>
      <c r="F5" s="9" t="s">
        <v>35</v>
      </c>
      <c r="G5" s="13">
        <v>2000</v>
      </c>
      <c r="H5" s="14">
        <f t="shared" ca="1" si="0"/>
        <v>18</v>
      </c>
      <c r="I5" s="15">
        <f t="shared" ca="1" si="1"/>
        <v>30</v>
      </c>
    </row>
    <row r="6" spans="1:11" ht="20.25">
      <c r="A6" s="11" t="s">
        <v>36</v>
      </c>
      <c r="B6" s="9" t="s">
        <v>37</v>
      </c>
      <c r="C6" s="9" t="s">
        <v>38</v>
      </c>
      <c r="D6" s="12">
        <v>36530</v>
      </c>
      <c r="E6" s="9" t="s">
        <v>16</v>
      </c>
      <c r="F6" s="9" t="s">
        <v>39</v>
      </c>
      <c r="G6" s="13">
        <v>2000</v>
      </c>
      <c r="H6" s="14">
        <f t="shared" ca="1" si="0"/>
        <v>18</v>
      </c>
      <c r="I6" s="15">
        <f t="shared" ca="1" si="1"/>
        <v>30</v>
      </c>
    </row>
    <row r="7" spans="1:11" ht="20.25">
      <c r="A7" s="11" t="s">
        <v>17</v>
      </c>
      <c r="B7" s="9" t="s">
        <v>40</v>
      </c>
      <c r="C7" s="9" t="s">
        <v>38</v>
      </c>
      <c r="D7" s="12">
        <v>36800</v>
      </c>
      <c r="E7" s="9" t="s">
        <v>16</v>
      </c>
      <c r="F7" s="9" t="s">
        <v>39</v>
      </c>
      <c r="G7" s="13">
        <v>1500</v>
      </c>
      <c r="H7" s="14">
        <f t="shared" ca="1" si="0"/>
        <v>18</v>
      </c>
      <c r="I7" s="15">
        <f t="shared" ca="1" si="1"/>
        <v>30</v>
      </c>
    </row>
    <row r="8" spans="1:11" ht="20.25">
      <c r="A8" s="11" t="s">
        <v>18</v>
      </c>
      <c r="B8" s="9" t="s">
        <v>41</v>
      </c>
      <c r="C8" s="9" t="s">
        <v>30</v>
      </c>
      <c r="D8" s="12">
        <v>35494</v>
      </c>
      <c r="E8" s="9" t="s">
        <v>16</v>
      </c>
      <c r="F8" s="9" t="s">
        <v>42</v>
      </c>
      <c r="G8" s="13">
        <v>1500</v>
      </c>
      <c r="H8" s="14">
        <f t="shared" ca="1" si="0"/>
        <v>21</v>
      </c>
      <c r="I8" s="15">
        <f t="shared" ca="1" si="1"/>
        <v>30</v>
      </c>
    </row>
    <row r="9" spans="1:11" ht="20.25">
      <c r="A9" s="11" t="s">
        <v>19</v>
      </c>
      <c r="B9" s="9" t="s">
        <v>43</v>
      </c>
      <c r="C9" s="9" t="s">
        <v>38</v>
      </c>
      <c r="D9" s="12">
        <v>38594</v>
      </c>
      <c r="E9" s="9" t="s">
        <v>16</v>
      </c>
      <c r="F9" s="9" t="s">
        <v>39</v>
      </c>
      <c r="G9" s="13">
        <v>1800</v>
      </c>
      <c r="H9" s="14">
        <f t="shared" ca="1" si="0"/>
        <v>13</v>
      </c>
      <c r="I9" s="15">
        <f t="shared" ca="1" si="1"/>
        <v>30</v>
      </c>
    </row>
    <row r="10" spans="1:11" ht="20.25">
      <c r="A10" s="11" t="s">
        <v>20</v>
      </c>
      <c r="B10" s="9" t="s">
        <v>44</v>
      </c>
      <c r="C10" s="9" t="s">
        <v>38</v>
      </c>
      <c r="D10" s="12">
        <v>35784</v>
      </c>
      <c r="E10" s="9" t="s">
        <v>21</v>
      </c>
      <c r="F10" s="9" t="s">
        <v>42</v>
      </c>
      <c r="G10" s="13">
        <v>2500</v>
      </c>
      <c r="H10" s="14">
        <f t="shared" ca="1" si="0"/>
        <v>21</v>
      </c>
      <c r="I10" s="15">
        <f t="shared" ca="1" si="1"/>
        <v>30</v>
      </c>
    </row>
    <row r="11" spans="1:11" ht="20.25">
      <c r="A11" s="11" t="s">
        <v>22</v>
      </c>
      <c r="B11" s="9" t="s">
        <v>45</v>
      </c>
      <c r="C11" s="9" t="s">
        <v>30</v>
      </c>
      <c r="D11" s="12">
        <v>37810</v>
      </c>
      <c r="E11" s="9" t="s">
        <v>21</v>
      </c>
      <c r="F11" s="9" t="s">
        <v>46</v>
      </c>
      <c r="G11" s="13">
        <v>1500</v>
      </c>
      <c r="H11" s="14">
        <f t="shared" ca="1" si="0"/>
        <v>15</v>
      </c>
      <c r="I11" s="15">
        <f t="shared" ca="1" si="1"/>
        <v>30</v>
      </c>
    </row>
    <row r="12" spans="1:11" ht="20.25">
      <c r="A12" s="11" t="s">
        <v>23</v>
      </c>
      <c r="B12" s="9" t="s">
        <v>47</v>
      </c>
      <c r="C12" s="9" t="s">
        <v>38</v>
      </c>
      <c r="D12" s="12">
        <v>38718</v>
      </c>
      <c r="E12" s="9" t="s">
        <v>21</v>
      </c>
      <c r="F12" s="9" t="s">
        <v>48</v>
      </c>
      <c r="G12" s="13">
        <v>1000</v>
      </c>
      <c r="H12" s="14">
        <f t="shared" ca="1" si="0"/>
        <v>12</v>
      </c>
      <c r="I12" s="15">
        <f t="shared" ca="1" si="1"/>
        <v>30</v>
      </c>
    </row>
    <row r="13" spans="1:11" ht="20.25">
      <c r="A13" s="11" t="s">
        <v>24</v>
      </c>
      <c r="B13" s="9" t="s">
        <v>49</v>
      </c>
      <c r="C13" s="9" t="s">
        <v>30</v>
      </c>
      <c r="D13" s="12">
        <v>37016</v>
      </c>
      <c r="E13" s="9" t="s">
        <v>25</v>
      </c>
      <c r="F13" s="9" t="s">
        <v>50</v>
      </c>
      <c r="G13" s="13">
        <v>1000</v>
      </c>
      <c r="H13" s="14">
        <f t="shared" ca="1" si="0"/>
        <v>17</v>
      </c>
      <c r="I13" s="15">
        <f t="shared" ca="1" si="1"/>
        <v>30</v>
      </c>
    </row>
    <row r="14" spans="1:11" ht="20.25">
      <c r="A14" s="11" t="s">
        <v>26</v>
      </c>
      <c r="B14" s="9" t="s">
        <v>51</v>
      </c>
      <c r="C14" s="9" t="s">
        <v>38</v>
      </c>
      <c r="D14" s="12">
        <v>37509</v>
      </c>
      <c r="E14" s="9" t="s">
        <v>25</v>
      </c>
      <c r="F14" s="9" t="s">
        <v>50</v>
      </c>
      <c r="G14" s="13">
        <v>1000</v>
      </c>
      <c r="H14" s="14">
        <f t="shared" ca="1" si="0"/>
        <v>16</v>
      </c>
      <c r="I14" s="15">
        <f t="shared" ca="1" si="1"/>
        <v>30</v>
      </c>
    </row>
    <row r="15" spans="1:11" ht="20.25">
      <c r="A15" s="11" t="s">
        <v>27</v>
      </c>
      <c r="B15" s="9" t="s">
        <v>52</v>
      </c>
      <c r="C15" s="9" t="s">
        <v>38</v>
      </c>
      <c r="D15" s="12">
        <v>34700</v>
      </c>
      <c r="E15" s="9" t="s">
        <v>25</v>
      </c>
      <c r="F15" s="9" t="s">
        <v>42</v>
      </c>
      <c r="G15" s="13">
        <v>3500</v>
      </c>
      <c r="H15" s="14">
        <f t="shared" ca="1" si="0"/>
        <v>23</v>
      </c>
      <c r="I15" s="15">
        <f t="shared" ca="1" si="1"/>
        <v>30</v>
      </c>
    </row>
    <row r="16" spans="1:11" ht="20.25">
      <c r="A16" s="11" t="s">
        <v>28</v>
      </c>
      <c r="B16" s="9" t="s">
        <v>53</v>
      </c>
      <c r="C16" s="9" t="s">
        <v>38</v>
      </c>
      <c r="D16" s="12">
        <v>36524</v>
      </c>
      <c r="E16" s="9" t="s">
        <v>25</v>
      </c>
      <c r="F16" s="9" t="s">
        <v>50</v>
      </c>
      <c r="G16" s="13">
        <v>1000</v>
      </c>
      <c r="H16" s="14">
        <f t="shared" ca="1" si="0"/>
        <v>19</v>
      </c>
      <c r="I16" s="15">
        <f t="shared" ca="1" si="1"/>
        <v>30</v>
      </c>
    </row>
  </sheetData>
  <sortState ref="A2:I16">
    <sortCondition ref="E1"/>
  </sortState>
  <phoneticPr fontId="1" type="noConversion"/>
  <dataValidations count="1">
    <dataValidation type="list" allowBlank="1" showInputMessage="1" showErrorMessage="1" sqref="E2:E16">
      <formula1>"企划部,财务部,销售部,生产部"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6" sqref="C6"/>
    </sheetView>
  </sheetViews>
  <sheetFormatPr defaultRowHeight="13.5"/>
  <cols>
    <col min="1" max="1" width="12.625" customWidth="1"/>
    <col min="2" max="2" width="20" customWidth="1"/>
  </cols>
  <sheetData>
    <row r="1" spans="1:4" ht="20.25">
      <c r="A1" s="52" t="s">
        <v>81</v>
      </c>
      <c r="B1" s="52"/>
      <c r="C1" s="52"/>
      <c r="D1" s="52"/>
    </row>
    <row r="2" spans="1:4" s="15" customFormat="1" ht="20.25">
      <c r="A2" s="53" t="s">
        <v>82</v>
      </c>
      <c r="B2" s="53"/>
      <c r="C2" s="53"/>
      <c r="D2" s="53"/>
    </row>
    <row r="3" spans="1:4" s="15" customFormat="1" ht="20.25">
      <c r="A3" s="15" t="s">
        <v>83</v>
      </c>
      <c r="B3" s="16">
        <v>43160</v>
      </c>
      <c r="C3" s="16"/>
      <c r="D3" s="16"/>
    </row>
    <row r="4" spans="1:4" s="15" customFormat="1" ht="20.25">
      <c r="A4" s="17" t="s">
        <v>84</v>
      </c>
      <c r="B4" s="17" t="s">
        <v>85</v>
      </c>
      <c r="C4" s="17" t="s">
        <v>86</v>
      </c>
      <c r="D4" s="17" t="s">
        <v>87</v>
      </c>
    </row>
    <row r="5" spans="1:4" s="15" customFormat="1" ht="20.25">
      <c r="A5" s="48" t="s">
        <v>11</v>
      </c>
      <c r="B5" s="17" t="s">
        <v>88</v>
      </c>
      <c r="C5" s="17">
        <f>COUNTIF(财务部,"男")</f>
        <v>0</v>
      </c>
      <c r="D5" s="50">
        <f>COUNTIF(基本情况表!E2:E16,"财务部")</f>
        <v>4</v>
      </c>
    </row>
    <row r="6" spans="1:4" s="15" customFormat="1" ht="20.25">
      <c r="A6" s="49"/>
      <c r="B6" s="17" t="s">
        <v>89</v>
      </c>
      <c r="C6" s="17">
        <f>COUNTIF(财务部,"女")</f>
        <v>4</v>
      </c>
      <c r="D6" s="51"/>
    </row>
    <row r="7" spans="1:4" s="15" customFormat="1" ht="20.25">
      <c r="A7" s="48" t="s">
        <v>16</v>
      </c>
      <c r="B7" s="17" t="s">
        <v>88</v>
      </c>
      <c r="C7" s="17">
        <f>COUNTIF(企划部,B7)</f>
        <v>3</v>
      </c>
      <c r="D7" s="50"/>
    </row>
    <row r="8" spans="1:4" s="15" customFormat="1" ht="20.25">
      <c r="A8" s="49"/>
      <c r="B8" s="17" t="s">
        <v>89</v>
      </c>
      <c r="C8" s="17">
        <f>COUNTIF(企划部,B8)</f>
        <v>1</v>
      </c>
      <c r="D8" s="51"/>
    </row>
    <row r="9" spans="1:4" s="15" customFormat="1" ht="20.25">
      <c r="A9" s="48" t="s">
        <v>21</v>
      </c>
      <c r="B9" s="17" t="s">
        <v>88</v>
      </c>
      <c r="C9" s="17">
        <f>COUNTIF(生产部,B9)</f>
        <v>2</v>
      </c>
      <c r="D9" s="50"/>
    </row>
    <row r="10" spans="1:4" s="15" customFormat="1" ht="20.25">
      <c r="A10" s="49"/>
      <c r="B10" s="17" t="s">
        <v>89</v>
      </c>
      <c r="C10" s="17">
        <f>COUNTIF(生产部,B10)</f>
        <v>1</v>
      </c>
      <c r="D10" s="51"/>
    </row>
    <row r="11" spans="1:4" s="15" customFormat="1" ht="20.25">
      <c r="A11" s="48" t="s">
        <v>25</v>
      </c>
      <c r="B11" s="17" t="s">
        <v>88</v>
      </c>
      <c r="C11" s="17"/>
      <c r="D11" s="50"/>
    </row>
    <row r="12" spans="1:4" s="15" customFormat="1" ht="20.25">
      <c r="A12" s="49"/>
      <c r="B12" s="17" t="s">
        <v>89</v>
      </c>
      <c r="C12" s="17"/>
      <c r="D12" s="51"/>
    </row>
    <row r="13" spans="1:4" s="15" customFormat="1" ht="24" customHeight="1">
      <c r="A13" s="17" t="s">
        <v>90</v>
      </c>
      <c r="B13" s="17"/>
      <c r="C13" s="17"/>
      <c r="D13" s="17"/>
    </row>
  </sheetData>
  <mergeCells count="10">
    <mergeCell ref="A9:A10"/>
    <mergeCell ref="D9:D10"/>
    <mergeCell ref="A11:A12"/>
    <mergeCell ref="D11:D12"/>
    <mergeCell ref="A1:D1"/>
    <mergeCell ref="A2:D2"/>
    <mergeCell ref="A7:A8"/>
    <mergeCell ref="A5:A6"/>
    <mergeCell ref="D5:D6"/>
    <mergeCell ref="D7:D8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D6" sqref="D6"/>
    </sheetView>
  </sheetViews>
  <sheetFormatPr defaultRowHeight="13.5"/>
  <cols>
    <col min="1" max="1" width="12.125" customWidth="1"/>
    <col min="2" max="2" width="14.5" customWidth="1"/>
  </cols>
  <sheetData>
    <row r="1" spans="1:2" ht="18.75">
      <c r="A1" s="54" t="s">
        <v>95</v>
      </c>
      <c r="B1" s="54"/>
    </row>
    <row r="2" spans="1:2" ht="20.25">
      <c r="A2" s="9" t="s">
        <v>96</v>
      </c>
      <c r="B2" s="9" t="s">
        <v>97</v>
      </c>
    </row>
    <row r="3" spans="1:2" ht="20.25">
      <c r="A3" s="9">
        <v>0</v>
      </c>
      <c r="B3" s="9">
        <v>0</v>
      </c>
    </row>
    <row r="4" spans="1:2" ht="20.25">
      <c r="A4" s="9">
        <v>1</v>
      </c>
      <c r="B4" s="9">
        <v>15</v>
      </c>
    </row>
    <row r="5" spans="1:2" ht="20.25">
      <c r="A5" s="9">
        <v>2</v>
      </c>
      <c r="B5" s="9">
        <v>16</v>
      </c>
    </row>
    <row r="6" spans="1:2" ht="20.25">
      <c r="A6" s="9">
        <v>3</v>
      </c>
      <c r="B6" s="9">
        <v>17</v>
      </c>
    </row>
    <row r="7" spans="1:2" ht="20.25">
      <c r="A7" s="9">
        <v>4</v>
      </c>
      <c r="B7" s="9">
        <v>18</v>
      </c>
    </row>
    <row r="8" spans="1:2" ht="20.25">
      <c r="A8" s="9">
        <v>5</v>
      </c>
      <c r="B8" s="9">
        <v>19</v>
      </c>
    </row>
    <row r="9" spans="1:2" ht="20.25">
      <c r="A9" s="9">
        <v>6</v>
      </c>
      <c r="B9" s="9">
        <v>20</v>
      </c>
    </row>
    <row r="10" spans="1:2" ht="20.25">
      <c r="A10" s="9">
        <v>7</v>
      </c>
      <c r="B10" s="9">
        <v>20</v>
      </c>
    </row>
    <row r="11" spans="1:2" ht="20.25">
      <c r="A11" s="9">
        <v>8</v>
      </c>
      <c r="B11" s="9">
        <v>20</v>
      </c>
    </row>
    <row r="12" spans="1:2" ht="20.25">
      <c r="A12" s="9">
        <v>9</v>
      </c>
      <c r="B12" s="9">
        <v>20</v>
      </c>
    </row>
    <row r="13" spans="1:2" ht="20.25">
      <c r="A13" s="9">
        <v>10</v>
      </c>
      <c r="B13" s="9">
        <v>30</v>
      </c>
    </row>
    <row r="14" spans="1:2" ht="20.25">
      <c r="A14" s="9">
        <v>11</v>
      </c>
      <c r="B14" s="9">
        <v>30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3" sqref="A3"/>
    </sheetView>
  </sheetViews>
  <sheetFormatPr defaultRowHeight="13.5"/>
  <cols>
    <col min="1" max="1" width="12.25" customWidth="1"/>
    <col min="2" max="2" width="10.75" customWidth="1"/>
    <col min="4" max="4" width="16.875" customWidth="1"/>
    <col min="5" max="5" width="16.25" customWidth="1"/>
    <col min="6" max="6" width="13.625" customWidth="1"/>
    <col min="7" max="7" width="9.875" customWidth="1"/>
    <col min="8" max="8" width="10.5" customWidth="1"/>
    <col min="9" max="9" width="14.75" customWidth="1"/>
  </cols>
  <sheetData>
    <row r="1" spans="1:9" ht="22.5">
      <c r="A1" s="55" t="s">
        <v>91</v>
      </c>
      <c r="B1" s="55"/>
      <c r="C1" s="55"/>
      <c r="D1" s="55"/>
      <c r="E1" s="55"/>
      <c r="F1" s="55"/>
      <c r="G1" s="55"/>
      <c r="H1" s="55"/>
      <c r="I1" s="55"/>
    </row>
    <row r="2" spans="1:9" ht="22.5">
      <c r="A2" s="56" t="s">
        <v>100</v>
      </c>
      <c r="B2" s="56"/>
      <c r="C2" s="56"/>
      <c r="D2" s="56"/>
      <c r="E2" s="56"/>
      <c r="F2" s="56"/>
      <c r="G2" s="56"/>
      <c r="H2" s="56"/>
      <c r="I2" s="56"/>
    </row>
    <row r="3" spans="1:9" ht="20.25">
      <c r="A3" s="9" t="s">
        <v>101</v>
      </c>
      <c r="B3" s="9" t="s">
        <v>102</v>
      </c>
      <c r="C3" s="9" t="s">
        <v>92</v>
      </c>
      <c r="D3" s="10" t="s">
        <v>103</v>
      </c>
      <c r="E3" s="9" t="s">
        <v>104</v>
      </c>
      <c r="F3" s="9" t="s">
        <v>105</v>
      </c>
      <c r="G3" s="9" t="s">
        <v>106</v>
      </c>
      <c r="H3" s="9" t="s">
        <v>107</v>
      </c>
      <c r="I3" s="9" t="s">
        <v>108</v>
      </c>
    </row>
    <row r="4" spans="1:9" ht="20.25">
      <c r="A4" s="11" t="s">
        <v>109</v>
      </c>
      <c r="B4" s="9" t="s">
        <v>110</v>
      </c>
      <c r="C4" s="9" t="s">
        <v>93</v>
      </c>
      <c r="D4" s="12">
        <v>36530</v>
      </c>
      <c r="E4" s="9" t="s">
        <v>16</v>
      </c>
      <c r="F4" s="9" t="s">
        <v>111</v>
      </c>
      <c r="G4" s="9">
        <v>2002</v>
      </c>
      <c r="H4" s="9">
        <v>12</v>
      </c>
      <c r="I4" s="9">
        <v>4000</v>
      </c>
    </row>
    <row r="5" spans="1:9" ht="20.25">
      <c r="A5" s="11" t="s">
        <v>17</v>
      </c>
      <c r="B5" s="9" t="s">
        <v>112</v>
      </c>
      <c r="C5" s="9" t="s">
        <v>93</v>
      </c>
      <c r="D5" s="12">
        <v>36800</v>
      </c>
      <c r="E5" s="9" t="s">
        <v>16</v>
      </c>
      <c r="F5" s="9" t="s">
        <v>111</v>
      </c>
      <c r="G5" s="9">
        <v>2003</v>
      </c>
      <c r="H5" s="9">
        <v>6</v>
      </c>
      <c r="I5" s="9">
        <v>4000</v>
      </c>
    </row>
    <row r="6" spans="1:9" ht="20.25">
      <c r="A6" s="11" t="s">
        <v>8</v>
      </c>
      <c r="B6" s="9" t="s">
        <v>113</v>
      </c>
      <c r="C6" s="9" t="s">
        <v>94</v>
      </c>
      <c r="D6" s="12">
        <v>35224</v>
      </c>
      <c r="E6" s="9" t="s">
        <v>11</v>
      </c>
      <c r="F6" s="9" t="s">
        <v>114</v>
      </c>
      <c r="G6" s="9">
        <v>2006</v>
      </c>
      <c r="H6" s="9">
        <v>1</v>
      </c>
      <c r="I6" s="9">
        <v>5000</v>
      </c>
    </row>
    <row r="7" spans="1:9" ht="20.25">
      <c r="A7" s="11" t="s">
        <v>24</v>
      </c>
      <c r="B7" s="9" t="s">
        <v>115</v>
      </c>
      <c r="C7" s="9" t="s">
        <v>94</v>
      </c>
      <c r="D7" s="12">
        <v>37016</v>
      </c>
      <c r="E7" s="9" t="s">
        <v>25</v>
      </c>
      <c r="F7" s="9" t="s">
        <v>116</v>
      </c>
      <c r="G7" s="9">
        <v>2005</v>
      </c>
      <c r="H7" s="9">
        <v>1</v>
      </c>
      <c r="I7" s="9">
        <v>3000</v>
      </c>
    </row>
    <row r="8" spans="1:9" ht="20.25">
      <c r="A8" s="11" t="s">
        <v>20</v>
      </c>
      <c r="B8" s="9" t="s">
        <v>117</v>
      </c>
      <c r="C8" s="9" t="s">
        <v>93</v>
      </c>
      <c r="D8" s="12">
        <v>35784</v>
      </c>
      <c r="E8" s="9" t="s">
        <v>21</v>
      </c>
      <c r="F8" s="9" t="s">
        <v>114</v>
      </c>
      <c r="G8" s="9">
        <v>2002</v>
      </c>
      <c r="H8" s="9">
        <v>12</v>
      </c>
      <c r="I8" s="9">
        <v>4500</v>
      </c>
    </row>
    <row r="9" spans="1:9" ht="20.25">
      <c r="A9" s="11" t="s">
        <v>13</v>
      </c>
      <c r="B9" s="9" t="s">
        <v>118</v>
      </c>
      <c r="C9" s="9" t="s">
        <v>94</v>
      </c>
      <c r="D9" s="12">
        <v>38137</v>
      </c>
      <c r="E9" s="9" t="s">
        <v>11</v>
      </c>
      <c r="F9" s="9" t="s">
        <v>119</v>
      </c>
      <c r="G9" s="9">
        <v>2003</v>
      </c>
      <c r="H9" s="9">
        <v>6</v>
      </c>
      <c r="I9" s="9">
        <v>3800</v>
      </c>
    </row>
    <row r="10" spans="1:9" ht="20.25">
      <c r="A10" s="11" t="s">
        <v>22</v>
      </c>
      <c r="B10" s="9" t="s">
        <v>120</v>
      </c>
      <c r="C10" s="9" t="s">
        <v>94</v>
      </c>
      <c r="D10" s="12">
        <v>37810</v>
      </c>
      <c r="E10" s="9" t="s">
        <v>21</v>
      </c>
      <c r="F10" s="9" t="s">
        <v>121</v>
      </c>
      <c r="G10" s="9">
        <v>2006</v>
      </c>
      <c r="H10" s="9">
        <v>4</v>
      </c>
      <c r="I10" s="9">
        <v>3500</v>
      </c>
    </row>
    <row r="11" spans="1:9" ht="20.25">
      <c r="A11" s="11" t="s">
        <v>26</v>
      </c>
      <c r="B11" s="9" t="s">
        <v>122</v>
      </c>
      <c r="C11" s="9" t="s">
        <v>93</v>
      </c>
      <c r="D11" s="12">
        <v>37509</v>
      </c>
      <c r="E11" s="9" t="s">
        <v>25</v>
      </c>
      <c r="F11" s="9" t="s">
        <v>116</v>
      </c>
      <c r="G11" s="9">
        <v>2006</v>
      </c>
      <c r="H11" s="9">
        <v>1</v>
      </c>
      <c r="I11" s="9">
        <v>3000</v>
      </c>
    </row>
    <row r="12" spans="1:9" ht="20.25">
      <c r="A12" s="11" t="s">
        <v>14</v>
      </c>
      <c r="B12" s="9" t="s">
        <v>123</v>
      </c>
      <c r="C12" s="9" t="s">
        <v>94</v>
      </c>
      <c r="D12" s="12">
        <v>39668</v>
      </c>
      <c r="E12" s="9" t="s">
        <v>11</v>
      </c>
      <c r="F12" s="9" t="s">
        <v>124</v>
      </c>
      <c r="G12" s="9">
        <v>2005</v>
      </c>
      <c r="H12" s="9">
        <v>5</v>
      </c>
      <c r="I12" s="9">
        <v>5000</v>
      </c>
    </row>
    <row r="13" spans="1:9" ht="20.25">
      <c r="A13" s="11" t="s">
        <v>15</v>
      </c>
      <c r="B13" s="9" t="s">
        <v>125</v>
      </c>
      <c r="C13" s="9" t="s">
        <v>94</v>
      </c>
      <c r="D13" s="12">
        <v>36683</v>
      </c>
      <c r="E13" s="9" t="s">
        <v>11</v>
      </c>
      <c r="F13" s="9" t="s">
        <v>126</v>
      </c>
      <c r="G13" s="9">
        <v>2005</v>
      </c>
      <c r="H13" s="9">
        <v>5</v>
      </c>
      <c r="I13" s="9">
        <v>4000</v>
      </c>
    </row>
    <row r="14" spans="1:9" ht="20.25">
      <c r="A14" s="11" t="s">
        <v>18</v>
      </c>
      <c r="B14" s="9" t="s">
        <v>127</v>
      </c>
      <c r="C14" s="9" t="s">
        <v>94</v>
      </c>
      <c r="D14" s="12">
        <v>35494</v>
      </c>
      <c r="E14" s="9" t="s">
        <v>16</v>
      </c>
      <c r="F14" s="9" t="s">
        <v>114</v>
      </c>
      <c r="G14" s="9">
        <v>2005</v>
      </c>
      <c r="H14" s="9">
        <v>5</v>
      </c>
      <c r="I14" s="9">
        <v>3500</v>
      </c>
    </row>
    <row r="15" spans="1:9" ht="20.25">
      <c r="A15" s="11" t="s">
        <v>27</v>
      </c>
      <c r="B15" s="9" t="s">
        <v>128</v>
      </c>
      <c r="C15" s="9" t="s">
        <v>93</v>
      </c>
      <c r="D15" s="12">
        <v>34700</v>
      </c>
      <c r="E15" s="9" t="s">
        <v>25</v>
      </c>
      <c r="F15" s="9" t="s">
        <v>114</v>
      </c>
      <c r="G15" s="9">
        <v>2005</v>
      </c>
      <c r="H15" s="9">
        <v>5</v>
      </c>
      <c r="I15" s="9">
        <v>5500</v>
      </c>
    </row>
    <row r="16" spans="1:9" ht="20.25">
      <c r="A16" s="11" t="s">
        <v>28</v>
      </c>
      <c r="B16" s="9" t="s">
        <v>129</v>
      </c>
      <c r="C16" s="9" t="s">
        <v>93</v>
      </c>
      <c r="D16" s="12">
        <v>36524</v>
      </c>
      <c r="E16" s="9" t="s">
        <v>25</v>
      </c>
      <c r="F16" s="9" t="s">
        <v>116</v>
      </c>
      <c r="G16" s="9">
        <v>2002</v>
      </c>
      <c r="H16" s="9">
        <v>12</v>
      </c>
      <c r="I16" s="9">
        <v>3000</v>
      </c>
    </row>
    <row r="17" spans="1:9" ht="20.25">
      <c r="A17" s="11" t="s">
        <v>19</v>
      </c>
      <c r="B17" s="9" t="s">
        <v>130</v>
      </c>
      <c r="C17" s="9" t="s">
        <v>93</v>
      </c>
      <c r="D17" s="12">
        <v>38594</v>
      </c>
      <c r="E17" s="9" t="s">
        <v>16</v>
      </c>
      <c r="F17" s="9" t="s">
        <v>111</v>
      </c>
      <c r="G17" s="9">
        <v>2006</v>
      </c>
      <c r="H17" s="9">
        <v>1</v>
      </c>
      <c r="I17" s="9">
        <v>3800</v>
      </c>
    </row>
    <row r="18" spans="1:9" ht="20.25">
      <c r="A18" s="11" t="s">
        <v>23</v>
      </c>
      <c r="B18" s="9" t="s">
        <v>131</v>
      </c>
      <c r="C18" s="9" t="s">
        <v>93</v>
      </c>
      <c r="D18" s="12">
        <v>38718</v>
      </c>
      <c r="E18" s="9" t="s">
        <v>21</v>
      </c>
      <c r="F18" s="9" t="s">
        <v>132</v>
      </c>
      <c r="G18" s="9">
        <v>2006</v>
      </c>
      <c r="H18" s="9">
        <v>4</v>
      </c>
      <c r="I18" s="9">
        <v>3000</v>
      </c>
    </row>
  </sheetData>
  <sortState ref="A4:I18">
    <sortCondition ref="A4"/>
  </sortState>
  <mergeCells count="2">
    <mergeCell ref="A1:I1"/>
    <mergeCell ref="A2:I2"/>
  </mergeCells>
  <phoneticPr fontId="1" type="noConversion"/>
  <dataValidations count="1">
    <dataValidation type="list" allowBlank="1" showInputMessage="1" showErrorMessage="1" sqref="E3:E18">
      <formula1>"企划部,财务部,销售部,生产部"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9"/>
  <sheetViews>
    <sheetView workbookViewId="0">
      <selection activeCell="A4" sqref="A4:B18"/>
      <pivotSelection pane="bottomRight" showHeader="1" extendable="1" axis="axisRow" max="16" activeRow="3" previousRow="17" click="1" r:id="rId1">
        <pivotArea dataOnly="0" axis="axisRow" fieldPosition="0">
          <references count="1">
            <reference field="0" count="15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</reference>
          </references>
        </pivotArea>
      </pivotSelection>
    </sheetView>
  </sheetViews>
  <sheetFormatPr defaultRowHeight="13.5"/>
  <cols>
    <col min="1" max="1" width="9.75" customWidth="1"/>
    <col min="2" max="2" width="15.375" bestFit="1" customWidth="1"/>
    <col min="3" max="3" width="5.125" bestFit="1" customWidth="1"/>
    <col min="4" max="4" width="5.75" bestFit="1" customWidth="1"/>
  </cols>
  <sheetData>
    <row r="3" spans="1:2">
      <c r="A3" s="5" t="s">
        <v>217</v>
      </c>
      <c r="B3" t="s">
        <v>244</v>
      </c>
    </row>
    <row r="4" spans="1:2">
      <c r="A4" s="42">
        <v>1</v>
      </c>
      <c r="B4" s="7">
        <v>80</v>
      </c>
    </row>
    <row r="5" spans="1:2">
      <c r="A5" s="42">
        <v>2</v>
      </c>
      <c r="B5" s="7">
        <v>40</v>
      </c>
    </row>
    <row r="6" spans="1:2">
      <c r="A6" s="42">
        <v>3</v>
      </c>
      <c r="B6" s="7">
        <v>80</v>
      </c>
    </row>
    <row r="7" spans="1:2">
      <c r="A7" s="42">
        <v>4</v>
      </c>
      <c r="B7" s="7">
        <v>80</v>
      </c>
    </row>
    <row r="8" spans="1:2">
      <c r="A8" s="42">
        <v>5</v>
      </c>
      <c r="B8" s="7">
        <v>40</v>
      </c>
    </row>
    <row r="9" spans="1:2">
      <c r="A9" s="42">
        <v>6</v>
      </c>
      <c r="B9" s="7">
        <v>80</v>
      </c>
    </row>
    <row r="10" spans="1:2">
      <c r="A10" s="42">
        <v>7</v>
      </c>
      <c r="B10" s="7">
        <v>40</v>
      </c>
    </row>
    <row r="11" spans="1:2">
      <c r="A11" s="42">
        <v>8</v>
      </c>
      <c r="B11" s="7">
        <v>80</v>
      </c>
    </row>
    <row r="12" spans="1:2">
      <c r="A12" s="42">
        <v>9</v>
      </c>
      <c r="B12" s="7">
        <v>40</v>
      </c>
    </row>
    <row r="13" spans="1:2">
      <c r="A13" s="42">
        <v>10</v>
      </c>
      <c r="B13" s="7">
        <v>40</v>
      </c>
    </row>
    <row r="14" spans="1:2">
      <c r="A14" s="42">
        <v>11</v>
      </c>
      <c r="B14" s="7">
        <v>80</v>
      </c>
    </row>
    <row r="15" spans="1:2">
      <c r="A15" s="42">
        <v>12</v>
      </c>
      <c r="B15" s="7">
        <v>40</v>
      </c>
    </row>
    <row r="16" spans="1:2">
      <c r="A16" s="42">
        <v>13</v>
      </c>
      <c r="B16" s="7">
        <v>40</v>
      </c>
    </row>
    <row r="17" spans="1:2">
      <c r="A17" s="42">
        <v>14</v>
      </c>
      <c r="B17" s="7">
        <v>40</v>
      </c>
    </row>
    <row r="18" spans="1:2">
      <c r="A18" s="42">
        <v>15</v>
      </c>
      <c r="B18" s="7">
        <v>40</v>
      </c>
    </row>
    <row r="19" spans="1:2">
      <c r="A19" s="42" t="s">
        <v>218</v>
      </c>
      <c r="B19" s="7">
        <v>840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9"/>
  <sheetViews>
    <sheetView workbookViewId="0">
      <selection activeCell="B12" sqref="B12"/>
    </sheetView>
  </sheetViews>
  <sheetFormatPr defaultRowHeight="13.5"/>
  <cols>
    <col min="1" max="1" width="9.75" bestFit="1" customWidth="1"/>
    <col min="2" max="2" width="15.375" bestFit="1" customWidth="1"/>
  </cols>
  <sheetData>
    <row r="3" spans="1:2">
      <c r="A3" s="5" t="s">
        <v>217</v>
      </c>
      <c r="B3" t="s">
        <v>244</v>
      </c>
    </row>
    <row r="4" spans="1:2">
      <c r="A4" s="42">
        <v>1</v>
      </c>
      <c r="B4" s="7">
        <v>80</v>
      </c>
    </row>
    <row r="5" spans="1:2">
      <c r="A5" s="42">
        <v>2</v>
      </c>
      <c r="B5" s="7">
        <v>40</v>
      </c>
    </row>
    <row r="6" spans="1:2">
      <c r="A6" s="42">
        <v>3</v>
      </c>
      <c r="B6" s="7">
        <v>80</v>
      </c>
    </row>
    <row r="7" spans="1:2">
      <c r="A7" s="42">
        <v>4</v>
      </c>
      <c r="B7" s="7">
        <v>80</v>
      </c>
    </row>
    <row r="8" spans="1:2">
      <c r="A8" s="42">
        <v>5</v>
      </c>
      <c r="B8" s="7">
        <v>40</v>
      </c>
    </row>
    <row r="9" spans="1:2">
      <c r="A9" s="42">
        <v>6</v>
      </c>
      <c r="B9" s="7">
        <v>80</v>
      </c>
    </row>
    <row r="10" spans="1:2">
      <c r="A10" s="42">
        <v>7</v>
      </c>
      <c r="B10" s="7">
        <v>40</v>
      </c>
    </row>
    <row r="11" spans="1:2">
      <c r="A11" s="42">
        <v>8</v>
      </c>
      <c r="B11" s="7">
        <v>80</v>
      </c>
    </row>
    <row r="12" spans="1:2">
      <c r="A12" s="42">
        <v>9</v>
      </c>
      <c r="B12" s="7">
        <v>40</v>
      </c>
    </row>
    <row r="13" spans="1:2">
      <c r="A13" s="42">
        <v>10</v>
      </c>
      <c r="B13" s="7">
        <v>40</v>
      </c>
    </row>
    <row r="14" spans="1:2">
      <c r="A14" s="42">
        <v>11</v>
      </c>
      <c r="B14" s="7">
        <v>80</v>
      </c>
    </row>
    <row r="15" spans="1:2">
      <c r="A15" s="42">
        <v>12</v>
      </c>
      <c r="B15" s="7">
        <v>40</v>
      </c>
    </row>
    <row r="16" spans="1:2">
      <c r="A16" s="42">
        <v>13</v>
      </c>
      <c r="B16" s="7">
        <v>40</v>
      </c>
    </row>
    <row r="17" spans="1:2">
      <c r="A17" s="42">
        <v>14</v>
      </c>
      <c r="B17" s="7">
        <v>40</v>
      </c>
    </row>
    <row r="18" spans="1:2">
      <c r="A18" s="42">
        <v>15</v>
      </c>
      <c r="B18" s="7">
        <v>40</v>
      </c>
    </row>
    <row r="19" spans="1:2">
      <c r="A19" s="42" t="s">
        <v>218</v>
      </c>
      <c r="B19" s="7">
        <v>840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B1" workbookViewId="0">
      <selection activeCell="D7" sqref="D7"/>
    </sheetView>
  </sheetViews>
  <sheetFormatPr defaultRowHeight="13.5"/>
  <cols>
    <col min="1" max="1" width="16.125" customWidth="1"/>
    <col min="2" max="2" width="11.625" customWidth="1"/>
    <col min="3" max="3" width="12" customWidth="1"/>
    <col min="4" max="4" width="13.875" customWidth="1"/>
    <col min="5" max="5" width="13.625" customWidth="1"/>
    <col min="6" max="6" width="10.75" customWidth="1"/>
    <col min="7" max="7" width="13.625" customWidth="1"/>
    <col min="8" max="8" width="14.375" customWidth="1"/>
  </cols>
  <sheetData>
    <row r="1" spans="1:9" ht="20.25">
      <c r="A1" s="18" t="s">
        <v>133</v>
      </c>
      <c r="B1" s="18" t="s">
        <v>134</v>
      </c>
      <c r="C1" s="18" t="s">
        <v>135</v>
      </c>
      <c r="D1" s="18" t="s">
        <v>136</v>
      </c>
      <c r="E1" s="18" t="s">
        <v>137</v>
      </c>
      <c r="F1" s="18" t="s">
        <v>138</v>
      </c>
      <c r="G1" s="18" t="s">
        <v>139</v>
      </c>
      <c r="H1" s="18" t="s">
        <v>140</v>
      </c>
      <c r="I1" s="41" t="s">
        <v>242</v>
      </c>
    </row>
    <row r="2" spans="1:9" ht="20.25">
      <c r="A2" s="19">
        <v>1</v>
      </c>
      <c r="B2" s="20" t="s">
        <v>141</v>
      </c>
      <c r="C2" s="20" t="s">
        <v>142</v>
      </c>
      <c r="D2" s="20" t="s">
        <v>16</v>
      </c>
      <c r="E2" s="20" t="s">
        <v>143</v>
      </c>
      <c r="F2" s="21" t="s">
        <v>230</v>
      </c>
      <c r="G2" s="22">
        <v>0.70833333333333337</v>
      </c>
      <c r="H2" s="23">
        <v>0.72916666666666663</v>
      </c>
      <c r="I2" s="45">
        <f>IF(HOUR(H2-G2)&lt;=2,40,80)</f>
        <v>40</v>
      </c>
    </row>
    <row r="3" spans="1:9" ht="20.25">
      <c r="A3" s="19">
        <v>1</v>
      </c>
      <c r="B3" s="20" t="s">
        <v>37</v>
      </c>
      <c r="C3" s="20" t="s">
        <v>38</v>
      </c>
      <c r="D3" s="20" t="s">
        <v>16</v>
      </c>
      <c r="E3" s="20" t="s">
        <v>111</v>
      </c>
      <c r="F3" s="21" t="s">
        <v>243</v>
      </c>
      <c r="G3" s="22">
        <v>0.70833333333333337</v>
      </c>
      <c r="H3" s="23">
        <v>0.72916666666666663</v>
      </c>
      <c r="I3" s="45">
        <f>IF(HOUR(H3-G3)&lt;=2,40,80)</f>
        <v>40</v>
      </c>
    </row>
    <row r="4" spans="1:9" ht="20.25">
      <c r="A4" s="19">
        <v>2</v>
      </c>
      <c r="B4" s="20" t="s">
        <v>144</v>
      </c>
      <c r="C4" s="20" t="s">
        <v>142</v>
      </c>
      <c r="D4" s="20" t="s">
        <v>16</v>
      </c>
      <c r="E4" s="20" t="s">
        <v>143</v>
      </c>
      <c r="F4" s="21" t="s">
        <v>230</v>
      </c>
      <c r="G4" s="22">
        <v>0.70833333333333337</v>
      </c>
      <c r="H4" s="23">
        <v>0.72916666666666663</v>
      </c>
      <c r="I4" s="45">
        <f t="shared" ref="I4:I17" si="0">IF(HOUR(H4-G4)&lt;=2,40,80)</f>
        <v>40</v>
      </c>
    </row>
    <row r="5" spans="1:9" ht="20.25">
      <c r="A5" s="19">
        <v>3</v>
      </c>
      <c r="B5" s="20" t="s">
        <v>145</v>
      </c>
      <c r="C5" s="20" t="s">
        <v>146</v>
      </c>
      <c r="D5" s="20" t="s">
        <v>11</v>
      </c>
      <c r="E5" s="20" t="s">
        <v>147</v>
      </c>
      <c r="F5" s="24" t="s">
        <v>231</v>
      </c>
      <c r="G5" s="22">
        <v>0.33333333333333331</v>
      </c>
      <c r="H5" s="23">
        <v>0.45833333333333331</v>
      </c>
      <c r="I5" s="45">
        <f t="shared" si="0"/>
        <v>80</v>
      </c>
    </row>
    <row r="6" spans="1:9" ht="20.25">
      <c r="A6" s="19">
        <v>4</v>
      </c>
      <c r="B6" s="20" t="s">
        <v>148</v>
      </c>
      <c r="C6" s="20" t="s">
        <v>146</v>
      </c>
      <c r="D6" s="20" t="s">
        <v>25</v>
      </c>
      <c r="E6" s="20" t="s">
        <v>149</v>
      </c>
      <c r="F6" s="24" t="s">
        <v>232</v>
      </c>
      <c r="G6" s="22">
        <v>0.70833333333333337</v>
      </c>
      <c r="H6" s="23">
        <v>0.85416666666666663</v>
      </c>
      <c r="I6" s="45">
        <f t="shared" si="0"/>
        <v>80</v>
      </c>
    </row>
    <row r="7" spans="1:9" ht="20.25">
      <c r="A7" s="19">
        <v>5</v>
      </c>
      <c r="B7" s="20" t="s">
        <v>150</v>
      </c>
      <c r="C7" s="20" t="s">
        <v>142</v>
      </c>
      <c r="D7" s="20" t="s">
        <v>21</v>
      </c>
      <c r="E7" s="20" t="s">
        <v>147</v>
      </c>
      <c r="F7" s="24" t="s">
        <v>233</v>
      </c>
      <c r="G7" s="22">
        <v>0.52083333333333337</v>
      </c>
      <c r="H7" s="23">
        <v>0.5625</v>
      </c>
      <c r="I7" s="45">
        <f t="shared" si="0"/>
        <v>40</v>
      </c>
    </row>
    <row r="8" spans="1:9" ht="20.25">
      <c r="A8" s="19">
        <v>6</v>
      </c>
      <c r="B8" s="20" t="s">
        <v>151</v>
      </c>
      <c r="C8" s="20" t="s">
        <v>146</v>
      </c>
      <c r="D8" s="20" t="s">
        <v>11</v>
      </c>
      <c r="E8" s="20" t="s">
        <v>152</v>
      </c>
      <c r="F8" s="24" t="s">
        <v>231</v>
      </c>
      <c r="G8" s="22">
        <v>0.72916666666666663</v>
      </c>
      <c r="H8" s="23">
        <v>0.875</v>
      </c>
      <c r="I8" s="45">
        <f t="shared" si="0"/>
        <v>80</v>
      </c>
    </row>
    <row r="9" spans="1:9" ht="20.25">
      <c r="A9" s="19">
        <v>7</v>
      </c>
      <c r="B9" s="20" t="s">
        <v>153</v>
      </c>
      <c r="C9" s="20" t="s">
        <v>146</v>
      </c>
      <c r="D9" s="20" t="s">
        <v>21</v>
      </c>
      <c r="E9" s="20" t="s">
        <v>154</v>
      </c>
      <c r="F9" s="24" t="s">
        <v>234</v>
      </c>
      <c r="G9" s="22">
        <v>0.5</v>
      </c>
      <c r="H9" s="23">
        <v>0.5625</v>
      </c>
      <c r="I9" s="45">
        <f t="shared" si="0"/>
        <v>40</v>
      </c>
    </row>
    <row r="10" spans="1:9" ht="20.25">
      <c r="A10" s="19">
        <v>8</v>
      </c>
      <c r="B10" s="20" t="s">
        <v>155</v>
      </c>
      <c r="C10" s="20" t="s">
        <v>142</v>
      </c>
      <c r="D10" s="20" t="s">
        <v>25</v>
      </c>
      <c r="E10" s="20" t="s">
        <v>149</v>
      </c>
      <c r="F10" s="24" t="s">
        <v>235</v>
      </c>
      <c r="G10" s="22">
        <v>0.70833333333333337</v>
      </c>
      <c r="H10" s="23">
        <v>0.875</v>
      </c>
      <c r="I10" s="45">
        <f t="shared" si="0"/>
        <v>80</v>
      </c>
    </row>
    <row r="11" spans="1:9" ht="20.25">
      <c r="A11" s="19">
        <v>9</v>
      </c>
      <c r="B11" s="20" t="s">
        <v>156</v>
      </c>
      <c r="C11" s="20" t="s">
        <v>146</v>
      </c>
      <c r="D11" s="20" t="s">
        <v>11</v>
      </c>
      <c r="E11" s="20" t="s">
        <v>157</v>
      </c>
      <c r="F11" s="24" t="s">
        <v>236</v>
      </c>
      <c r="G11" s="22">
        <v>0.5</v>
      </c>
      <c r="H11" s="23">
        <v>0.5625</v>
      </c>
      <c r="I11" s="45">
        <f t="shared" si="0"/>
        <v>40</v>
      </c>
    </row>
    <row r="12" spans="1:9" ht="20.25">
      <c r="A12" s="19">
        <v>10</v>
      </c>
      <c r="B12" s="20" t="s">
        <v>158</v>
      </c>
      <c r="C12" s="20" t="s">
        <v>146</v>
      </c>
      <c r="D12" s="20" t="s">
        <v>11</v>
      </c>
      <c r="E12" s="20" t="s">
        <v>159</v>
      </c>
      <c r="F12" s="24" t="s">
        <v>237</v>
      </c>
      <c r="G12" s="22">
        <v>0.70833333333333337</v>
      </c>
      <c r="H12" s="23">
        <v>0.72916666666666663</v>
      </c>
      <c r="I12" s="45">
        <f t="shared" si="0"/>
        <v>40</v>
      </c>
    </row>
    <row r="13" spans="1:9" ht="20.25">
      <c r="A13" s="19">
        <v>11</v>
      </c>
      <c r="B13" s="20" t="s">
        <v>160</v>
      </c>
      <c r="C13" s="20" t="s">
        <v>146</v>
      </c>
      <c r="D13" s="20" t="s">
        <v>16</v>
      </c>
      <c r="E13" s="20" t="s">
        <v>147</v>
      </c>
      <c r="F13" s="24" t="s">
        <v>238</v>
      </c>
      <c r="G13" s="22">
        <v>0.33333333333333331</v>
      </c>
      <c r="H13" s="23">
        <v>0.45833333333333331</v>
      </c>
      <c r="I13" s="45">
        <f t="shared" si="0"/>
        <v>80</v>
      </c>
    </row>
    <row r="14" spans="1:9" ht="20.25">
      <c r="A14" s="19">
        <v>12</v>
      </c>
      <c r="B14" s="20" t="s">
        <v>161</v>
      </c>
      <c r="C14" s="20" t="s">
        <v>142</v>
      </c>
      <c r="D14" s="20" t="s">
        <v>25</v>
      </c>
      <c r="E14" s="20" t="s">
        <v>147</v>
      </c>
      <c r="F14" s="24" t="s">
        <v>235</v>
      </c>
      <c r="G14" s="22">
        <v>0.33333333333333331</v>
      </c>
      <c r="H14" s="23">
        <v>0.4375</v>
      </c>
      <c r="I14" s="45">
        <f t="shared" si="0"/>
        <v>40</v>
      </c>
    </row>
    <row r="15" spans="1:9" ht="20.25">
      <c r="A15" s="19">
        <v>13</v>
      </c>
      <c r="B15" s="20" t="s">
        <v>162</v>
      </c>
      <c r="C15" s="20" t="s">
        <v>142</v>
      </c>
      <c r="D15" s="20" t="s">
        <v>25</v>
      </c>
      <c r="E15" s="20" t="s">
        <v>149</v>
      </c>
      <c r="F15" s="24" t="s">
        <v>239</v>
      </c>
      <c r="G15" s="22">
        <v>0.5</v>
      </c>
      <c r="H15" s="23">
        <v>0.5625</v>
      </c>
      <c r="I15" s="45">
        <f t="shared" si="0"/>
        <v>40</v>
      </c>
    </row>
    <row r="16" spans="1:9" ht="20.25">
      <c r="A16" s="19">
        <v>14</v>
      </c>
      <c r="B16" s="20" t="s">
        <v>163</v>
      </c>
      <c r="C16" s="20" t="s">
        <v>142</v>
      </c>
      <c r="D16" s="20" t="s">
        <v>16</v>
      </c>
      <c r="E16" s="20" t="s">
        <v>143</v>
      </c>
      <c r="F16" s="24" t="s">
        <v>240</v>
      </c>
      <c r="G16" s="22">
        <v>0.72916666666666663</v>
      </c>
      <c r="H16" s="23">
        <v>0.77083333333333337</v>
      </c>
      <c r="I16" s="45">
        <f t="shared" si="0"/>
        <v>40</v>
      </c>
    </row>
    <row r="17" spans="1:9" ht="20.25">
      <c r="A17" s="19">
        <v>15</v>
      </c>
      <c r="B17" s="20" t="s">
        <v>164</v>
      </c>
      <c r="C17" s="20" t="s">
        <v>142</v>
      </c>
      <c r="D17" s="20" t="s">
        <v>21</v>
      </c>
      <c r="E17" s="20" t="s">
        <v>165</v>
      </c>
      <c r="F17" s="24" t="s">
        <v>241</v>
      </c>
      <c r="G17" s="22">
        <v>0.52083333333333337</v>
      </c>
      <c r="H17" s="23">
        <v>0.5625</v>
      </c>
      <c r="I17" s="45">
        <f t="shared" si="0"/>
        <v>40</v>
      </c>
    </row>
  </sheetData>
  <phoneticPr fontId="1" type="noConversion"/>
  <dataValidations count="1">
    <dataValidation type="list" allowBlank="1" showInputMessage="1" showErrorMessage="1" sqref="D2 D16 D3 D4 D5 D6 D7 D8 D9 D10 D11 D12 D13 D14 D15 D17">
      <formula1>"企划部,财务部,销售部,生产部"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ColWidth="12.75" defaultRowHeight="18.75"/>
  <cols>
    <col min="1" max="1" width="12.75" style="46"/>
    <col min="2" max="16384" width="12.75" style="44"/>
  </cols>
  <sheetData>
    <row r="1" spans="1:2">
      <c r="A1" s="46" t="s">
        <v>245</v>
      </c>
      <c r="B1" s="44" t="s">
        <v>246</v>
      </c>
    </row>
    <row r="2" spans="1:2" ht="20.25">
      <c r="A2" s="37" t="s">
        <v>36</v>
      </c>
      <c r="B2" s="43">
        <v>80</v>
      </c>
    </row>
    <row r="3" spans="1:2" ht="20.25">
      <c r="A3" s="37" t="s">
        <v>17</v>
      </c>
      <c r="B3" s="43">
        <v>40</v>
      </c>
    </row>
    <row r="4" spans="1:2" ht="20.25">
      <c r="A4" s="37" t="s">
        <v>8</v>
      </c>
      <c r="B4" s="43">
        <v>80</v>
      </c>
    </row>
    <row r="5" spans="1:2" ht="20.25">
      <c r="A5" s="37" t="s">
        <v>24</v>
      </c>
      <c r="B5" s="43">
        <v>80</v>
      </c>
    </row>
    <row r="6" spans="1:2" ht="20.25">
      <c r="A6" s="37" t="s">
        <v>20</v>
      </c>
      <c r="B6" s="43">
        <v>40</v>
      </c>
    </row>
    <row r="7" spans="1:2" ht="20.25">
      <c r="A7" s="37" t="s">
        <v>13</v>
      </c>
      <c r="B7" s="43">
        <v>80</v>
      </c>
    </row>
    <row r="8" spans="1:2" ht="20.25">
      <c r="A8" s="37" t="s">
        <v>22</v>
      </c>
      <c r="B8" s="43">
        <v>40</v>
      </c>
    </row>
    <row r="9" spans="1:2" ht="20.25">
      <c r="A9" s="37" t="s">
        <v>26</v>
      </c>
      <c r="B9" s="43">
        <v>80</v>
      </c>
    </row>
    <row r="10" spans="1:2" ht="20.25">
      <c r="A10" s="37" t="s">
        <v>14</v>
      </c>
      <c r="B10" s="43">
        <v>40</v>
      </c>
    </row>
    <row r="11" spans="1:2" ht="20.25">
      <c r="A11" s="37" t="s">
        <v>15</v>
      </c>
      <c r="B11" s="43">
        <v>40</v>
      </c>
    </row>
    <row r="12" spans="1:2" ht="20.25">
      <c r="A12" s="37" t="s">
        <v>18</v>
      </c>
      <c r="B12" s="43">
        <v>80</v>
      </c>
    </row>
    <row r="13" spans="1:2" ht="20.25">
      <c r="A13" s="37" t="s">
        <v>27</v>
      </c>
      <c r="B13" s="43">
        <v>40</v>
      </c>
    </row>
    <row r="14" spans="1:2" ht="20.25">
      <c r="A14" s="37" t="s">
        <v>28</v>
      </c>
      <c r="B14" s="43">
        <v>40</v>
      </c>
    </row>
    <row r="15" spans="1:2" ht="20.25">
      <c r="A15" s="37" t="s">
        <v>19</v>
      </c>
      <c r="B15" s="43">
        <v>40</v>
      </c>
    </row>
    <row r="16" spans="1:2" ht="20.25">
      <c r="A16" s="37" t="s">
        <v>23</v>
      </c>
      <c r="B16" s="43">
        <v>40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opLeftCell="C1" workbookViewId="0">
      <selection activeCell="K4" sqref="K4"/>
    </sheetView>
  </sheetViews>
  <sheetFormatPr defaultRowHeight="13.5"/>
  <cols>
    <col min="1" max="1" width="11.75" customWidth="1"/>
    <col min="2" max="2" width="11.375" customWidth="1"/>
    <col min="3" max="3" width="12.875" customWidth="1"/>
    <col min="4" max="4" width="10.125" customWidth="1"/>
    <col min="5" max="5" width="10.25" customWidth="1"/>
    <col min="6" max="6" width="10.125" customWidth="1"/>
    <col min="7" max="7" width="15.75" customWidth="1"/>
    <col min="8" max="8" width="13.375" customWidth="1"/>
    <col min="9" max="9" width="13.125" customWidth="1"/>
    <col min="10" max="10" width="17.125" customWidth="1"/>
    <col min="11" max="11" width="15" customWidth="1"/>
  </cols>
  <sheetData>
    <row r="1" spans="1:11" ht="2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>
      <c r="A2" s="54" t="s">
        <v>247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20.25">
      <c r="A3" s="25" t="s">
        <v>1</v>
      </c>
      <c r="B3" s="26" t="s">
        <v>2</v>
      </c>
      <c r="C3" s="26" t="s">
        <v>5</v>
      </c>
      <c r="D3" s="26" t="s">
        <v>166</v>
      </c>
      <c r="E3" s="26" t="s">
        <v>167</v>
      </c>
      <c r="F3" s="26" t="s">
        <v>168</v>
      </c>
      <c r="G3" s="27" t="s">
        <v>169</v>
      </c>
      <c r="H3" s="27" t="s">
        <v>170</v>
      </c>
      <c r="I3" s="27" t="s">
        <v>171</v>
      </c>
      <c r="J3" s="27" t="s">
        <v>172</v>
      </c>
      <c r="K3" s="27" t="s">
        <v>173</v>
      </c>
    </row>
    <row r="4" spans="1:11" ht="20.25">
      <c r="A4" s="25" t="s">
        <v>174</v>
      </c>
      <c r="B4" s="26" t="s">
        <v>175</v>
      </c>
      <c r="C4" s="26" t="s">
        <v>176</v>
      </c>
      <c r="D4" s="28">
        <v>1</v>
      </c>
      <c r="E4" s="29">
        <v>0</v>
      </c>
      <c r="F4" s="30">
        <v>0</v>
      </c>
      <c r="G4" s="31">
        <f>ROUND(工资明细表!E2/30*D4/2,0)</f>
        <v>67</v>
      </c>
      <c r="H4" s="31">
        <f>ROUND(工资明细表!E2/30*E4,0)</f>
        <v>0</v>
      </c>
      <c r="I4" s="31">
        <f>ROUND(IF(F4&gt;15,工资明细表!E2/30/2,IF(F4=0,0,10)),0)</f>
        <v>0</v>
      </c>
      <c r="J4" s="31">
        <f>SUM(G4:I4)</f>
        <v>67</v>
      </c>
      <c r="K4" s="15">
        <f>IF(IF(D4+E4&lt;=2,0,1)+IF(F4&lt;=30,0,1)=0,200,0)</f>
        <v>200</v>
      </c>
    </row>
    <row r="5" spans="1:11" ht="20.25">
      <c r="A5" s="25" t="s">
        <v>177</v>
      </c>
      <c r="B5" s="26" t="s">
        <v>178</v>
      </c>
      <c r="C5" s="26" t="s">
        <v>179</v>
      </c>
      <c r="D5" s="28">
        <v>0</v>
      </c>
      <c r="E5" s="29">
        <v>0</v>
      </c>
      <c r="F5" s="30">
        <v>0</v>
      </c>
      <c r="G5" s="31">
        <f>ROUND(工资明细表!E3/30*D5/2,0)</f>
        <v>0</v>
      </c>
      <c r="H5" s="31">
        <f>ROUND(工资明细表!E3/30*E5,0)</f>
        <v>0</v>
      </c>
      <c r="I5" s="31">
        <f>ROUND(IF(F5&gt;15,工资明细表!E3/30/2,IF(F5=0,0,10)),0)</f>
        <v>0</v>
      </c>
      <c r="J5" s="31">
        <f t="shared" ref="J5:J18" si="0">SUM(G5:I5)</f>
        <v>0</v>
      </c>
      <c r="K5" s="15">
        <f t="shared" ref="K5:K18" si="1">IF(IF(D5+E5&lt;=2,0,1)+IF(F5&lt;=30,0,1)=0,200,0)</f>
        <v>200</v>
      </c>
    </row>
    <row r="6" spans="1:11" ht="20.25">
      <c r="A6" s="25" t="s">
        <v>180</v>
      </c>
      <c r="B6" s="26" t="s">
        <v>9</v>
      </c>
      <c r="C6" s="26" t="s">
        <v>181</v>
      </c>
      <c r="D6" s="28">
        <v>0</v>
      </c>
      <c r="E6" s="29">
        <v>0</v>
      </c>
      <c r="F6" s="30">
        <v>20</v>
      </c>
      <c r="G6" s="31">
        <f>ROUND(工资明细表!E4/30*D6/2,0)</f>
        <v>0</v>
      </c>
      <c r="H6" s="31">
        <f>ROUND(工资明细表!E4/30*E6,0)</f>
        <v>0</v>
      </c>
      <c r="I6" s="31">
        <f>ROUND(IF(F6&gt;15,工资明细表!E4/30/2,IF(F6=0,0,10)),0)</f>
        <v>63</v>
      </c>
      <c r="J6" s="31">
        <f t="shared" si="0"/>
        <v>63</v>
      </c>
      <c r="K6" s="15">
        <f t="shared" si="1"/>
        <v>200</v>
      </c>
    </row>
    <row r="7" spans="1:11" ht="20.25">
      <c r="A7" s="25" t="s">
        <v>182</v>
      </c>
      <c r="B7" s="26" t="s">
        <v>49</v>
      </c>
      <c r="C7" s="26" t="s">
        <v>183</v>
      </c>
      <c r="D7" s="28">
        <v>0</v>
      </c>
      <c r="E7" s="29">
        <v>2</v>
      </c>
      <c r="F7" s="30">
        <v>0</v>
      </c>
      <c r="G7" s="31">
        <f>ROUND(工资明细表!E5/30*D7/2,0)</f>
        <v>0</v>
      </c>
      <c r="H7" s="31">
        <f>ROUND(工资明细表!E5/30*E7,0)</f>
        <v>333</v>
      </c>
      <c r="I7" s="31">
        <f>ROUND(IF(F7&gt;15,工资明细表!E5/30/2,IF(F7=0,0,10)),0)</f>
        <v>0</v>
      </c>
      <c r="J7" s="31">
        <f t="shared" si="0"/>
        <v>333</v>
      </c>
      <c r="K7" s="15">
        <f t="shared" si="1"/>
        <v>200</v>
      </c>
    </row>
    <row r="8" spans="1:11" ht="20.25">
      <c r="A8" s="25" t="s">
        <v>184</v>
      </c>
      <c r="B8" s="26" t="s">
        <v>44</v>
      </c>
      <c r="C8" s="26" t="s">
        <v>185</v>
      </c>
      <c r="D8" s="28">
        <v>0</v>
      </c>
      <c r="E8" s="29">
        <v>0</v>
      </c>
      <c r="F8" s="30">
        <v>0</v>
      </c>
      <c r="G8" s="31">
        <f>ROUND(工资明细表!E6/30*D8/2,0)</f>
        <v>0</v>
      </c>
      <c r="H8" s="31">
        <f>ROUND(工资明细表!E6/30*E8,0)</f>
        <v>0</v>
      </c>
      <c r="I8" s="31">
        <f>ROUND(IF(F8&gt;15,工资明细表!E6/30/2,IF(F8=0,0,10)),0)</f>
        <v>0</v>
      </c>
      <c r="J8" s="31">
        <f t="shared" si="0"/>
        <v>0</v>
      </c>
      <c r="K8" s="15">
        <f t="shared" si="1"/>
        <v>200</v>
      </c>
    </row>
    <row r="9" spans="1:11" ht="20.25">
      <c r="A9" s="25" t="s">
        <v>186</v>
      </c>
      <c r="B9" s="26" t="s">
        <v>29</v>
      </c>
      <c r="C9" s="26" t="s">
        <v>181</v>
      </c>
      <c r="D9" s="28">
        <v>2</v>
      </c>
      <c r="E9" s="29">
        <v>0</v>
      </c>
      <c r="F9" s="30">
        <v>0</v>
      </c>
      <c r="G9" s="31">
        <f>ROUND(工资明细表!E7/30*D9/2,0)</f>
        <v>133</v>
      </c>
      <c r="H9" s="31">
        <f>ROUND(工资明细表!E7/30*E9,0)</f>
        <v>0</v>
      </c>
      <c r="I9" s="31">
        <f>ROUND(IF(F9&gt;15,工资明细表!E7/30/2,IF(F9=0,0,10)),0)</f>
        <v>0</v>
      </c>
      <c r="J9" s="31">
        <f t="shared" si="0"/>
        <v>133</v>
      </c>
      <c r="K9" s="15">
        <f t="shared" si="1"/>
        <v>200</v>
      </c>
    </row>
    <row r="10" spans="1:11" ht="20.25">
      <c r="A10" s="25" t="s">
        <v>187</v>
      </c>
      <c r="B10" s="26" t="s">
        <v>45</v>
      </c>
      <c r="C10" s="26" t="s">
        <v>185</v>
      </c>
      <c r="D10" s="28">
        <v>0</v>
      </c>
      <c r="E10" s="29">
        <v>1</v>
      </c>
      <c r="F10" s="30">
        <v>0</v>
      </c>
      <c r="G10" s="31">
        <f>ROUND(工资明细表!E8/30*D10/2,0)</f>
        <v>0</v>
      </c>
      <c r="H10" s="31">
        <f>ROUND(工资明细表!E8/30*E10,0)</f>
        <v>117</v>
      </c>
      <c r="I10" s="31">
        <f>ROUND(IF(F10&gt;15,工资明细表!E8/30/2,IF(F10=0,0,10)),0)</f>
        <v>0</v>
      </c>
      <c r="J10" s="31">
        <f t="shared" si="0"/>
        <v>117</v>
      </c>
      <c r="K10" s="15">
        <f t="shared" si="1"/>
        <v>200</v>
      </c>
    </row>
    <row r="11" spans="1:11" ht="20.25">
      <c r="A11" s="25" t="s">
        <v>188</v>
      </c>
      <c r="B11" s="26" t="s">
        <v>51</v>
      </c>
      <c r="C11" s="26" t="s">
        <v>183</v>
      </c>
      <c r="D11" s="28">
        <v>0</v>
      </c>
      <c r="E11" s="29">
        <v>0</v>
      </c>
      <c r="F11" s="30">
        <v>30</v>
      </c>
      <c r="G11" s="31">
        <f>ROUND(工资明细表!E9/30*D11/2,0)</f>
        <v>0</v>
      </c>
      <c r="H11" s="31">
        <f>ROUND(工资明细表!E9/30*E11,0)</f>
        <v>0</v>
      </c>
      <c r="I11" s="31">
        <f>ROUND(IF(F11&gt;15,工资明细表!E9/30/2,IF(F11=0,0,10)),0)</f>
        <v>63</v>
      </c>
      <c r="J11" s="31">
        <f t="shared" si="0"/>
        <v>63</v>
      </c>
      <c r="K11" s="15">
        <f t="shared" si="1"/>
        <v>200</v>
      </c>
    </row>
    <row r="12" spans="1:11" ht="20.25">
      <c r="A12" s="25" t="s">
        <v>189</v>
      </c>
      <c r="B12" s="26" t="s">
        <v>32</v>
      </c>
      <c r="C12" s="26" t="s">
        <v>181</v>
      </c>
      <c r="D12" s="28">
        <v>0</v>
      </c>
      <c r="E12" s="29">
        <v>0</v>
      </c>
      <c r="F12" s="30">
        <v>0</v>
      </c>
      <c r="G12" s="31">
        <f>ROUND(工资明细表!E10/30*D12/2,0)</f>
        <v>0</v>
      </c>
      <c r="H12" s="31">
        <f>ROUND(工资明细表!E10/30*E12,0)</f>
        <v>0</v>
      </c>
      <c r="I12" s="31">
        <f>ROUND(IF(F12&gt;15,工资明细表!E10/30/2,IF(F12=0,0,10)),0)</f>
        <v>0</v>
      </c>
      <c r="J12" s="31">
        <f t="shared" si="0"/>
        <v>0</v>
      </c>
      <c r="K12" s="15">
        <f t="shared" si="1"/>
        <v>200</v>
      </c>
    </row>
    <row r="13" spans="1:11" ht="20.25">
      <c r="A13" s="25" t="s">
        <v>190</v>
      </c>
      <c r="B13" s="26" t="s">
        <v>34</v>
      </c>
      <c r="C13" s="26" t="s">
        <v>181</v>
      </c>
      <c r="D13" s="28">
        <v>3</v>
      </c>
      <c r="E13" s="29">
        <v>0</v>
      </c>
      <c r="F13" s="30">
        <v>0</v>
      </c>
      <c r="G13" s="31">
        <f>ROUND(工资明细表!E11/30*D13/2,0)</f>
        <v>175</v>
      </c>
      <c r="H13" s="31">
        <f>ROUND(工资明细表!E11/30*E13,0)</f>
        <v>0</v>
      </c>
      <c r="I13" s="31">
        <f>ROUND(IF(F13&gt;15,工资明细表!E11/30/2,IF(F13=0,0,10)),0)</f>
        <v>0</v>
      </c>
      <c r="J13" s="31">
        <f t="shared" si="0"/>
        <v>175</v>
      </c>
      <c r="K13" s="15">
        <f t="shared" si="1"/>
        <v>0</v>
      </c>
    </row>
    <row r="14" spans="1:11" ht="20.25">
      <c r="A14" s="25" t="s">
        <v>191</v>
      </c>
      <c r="B14" s="26" t="s">
        <v>41</v>
      </c>
      <c r="C14" s="26" t="s">
        <v>192</v>
      </c>
      <c r="D14" s="28">
        <v>0</v>
      </c>
      <c r="E14" s="29">
        <v>1</v>
      </c>
      <c r="F14" s="30">
        <v>0</v>
      </c>
      <c r="G14" s="31">
        <f>ROUND(工资明细表!E12/30*D14/2,0)</f>
        <v>0</v>
      </c>
      <c r="H14" s="31">
        <f>ROUND(工资明细表!E12/30*E14,0)</f>
        <v>100</v>
      </c>
      <c r="I14" s="31">
        <f>ROUND(IF(F14&gt;15,工资明细表!E12/30/2,IF(F14=0,0,10)),0)</f>
        <v>0</v>
      </c>
      <c r="J14" s="31">
        <f t="shared" si="0"/>
        <v>100</v>
      </c>
      <c r="K14" s="15">
        <f t="shared" si="1"/>
        <v>200</v>
      </c>
    </row>
    <row r="15" spans="1:11" ht="20.25">
      <c r="A15" s="25" t="s">
        <v>193</v>
      </c>
      <c r="B15" s="26" t="s">
        <v>52</v>
      </c>
      <c r="C15" s="26" t="s">
        <v>183</v>
      </c>
      <c r="D15" s="28">
        <v>0</v>
      </c>
      <c r="E15" s="29">
        <v>0</v>
      </c>
      <c r="F15" s="30">
        <f>VLOOKUP(E15,[2]年假规则!$A$1:$B$12,2,1)</f>
        <v>0</v>
      </c>
      <c r="G15" s="31">
        <f>ROUND(工资明细表!E13/30*D15/2,0)</f>
        <v>0</v>
      </c>
      <c r="H15" s="31">
        <f>ROUND(工资明细表!E13/30*E15,0)</f>
        <v>0</v>
      </c>
      <c r="I15" s="31">
        <f>ROUND(IF(F15&gt;15,工资明细表!E13/30/2,IF(F15=0,0,10)),0)</f>
        <v>0</v>
      </c>
      <c r="J15" s="31">
        <f t="shared" si="0"/>
        <v>0</v>
      </c>
      <c r="K15" s="15">
        <f t="shared" si="1"/>
        <v>200</v>
      </c>
    </row>
    <row r="16" spans="1:11" ht="20.25">
      <c r="A16" s="25" t="s">
        <v>194</v>
      </c>
      <c r="B16" s="26" t="s">
        <v>53</v>
      </c>
      <c r="C16" s="26" t="s">
        <v>183</v>
      </c>
      <c r="D16" s="28">
        <v>0</v>
      </c>
      <c r="E16" s="29">
        <v>0</v>
      </c>
      <c r="F16" s="30">
        <v>10</v>
      </c>
      <c r="G16" s="31">
        <f>ROUND(工资明细表!E14/30*D16/2,0)</f>
        <v>0</v>
      </c>
      <c r="H16" s="31">
        <f>ROUND(工资明细表!E14/30*E16,0)</f>
        <v>0</v>
      </c>
      <c r="I16" s="31">
        <f>ROUND(IF(F16&gt;15,工资明细表!E14/30/2,IF(F16=0,0,10)),0)</f>
        <v>10</v>
      </c>
      <c r="J16" s="31">
        <f t="shared" si="0"/>
        <v>10</v>
      </c>
      <c r="K16" s="15">
        <f t="shared" si="1"/>
        <v>200</v>
      </c>
    </row>
    <row r="17" spans="1:11" ht="20.25">
      <c r="A17" s="25" t="s">
        <v>195</v>
      </c>
      <c r="B17" s="26" t="s">
        <v>43</v>
      </c>
      <c r="C17" s="26" t="s">
        <v>192</v>
      </c>
      <c r="D17" s="28">
        <v>0</v>
      </c>
      <c r="E17" s="29">
        <v>0</v>
      </c>
      <c r="F17" s="30">
        <v>0</v>
      </c>
      <c r="G17" s="31">
        <f>ROUND(工资明细表!E15/30*D17/2,0)</f>
        <v>0</v>
      </c>
      <c r="H17" s="31">
        <f>ROUND(工资明细表!E15/30*E17,0)</f>
        <v>0</v>
      </c>
      <c r="I17" s="31">
        <f>ROUND(IF(F17&gt;15,工资明细表!E15/30/2,IF(F17=0,0,10)),0)</f>
        <v>0</v>
      </c>
      <c r="J17" s="31">
        <f t="shared" si="0"/>
        <v>0</v>
      </c>
      <c r="K17" s="15">
        <f t="shared" si="1"/>
        <v>200</v>
      </c>
    </row>
    <row r="18" spans="1:11" ht="20.25">
      <c r="A18" s="25" t="s">
        <v>196</v>
      </c>
      <c r="B18" s="26" t="s">
        <v>47</v>
      </c>
      <c r="C18" s="26" t="s">
        <v>185</v>
      </c>
      <c r="D18" s="28">
        <v>0</v>
      </c>
      <c r="E18" s="29">
        <v>1</v>
      </c>
      <c r="F18" s="30">
        <v>0</v>
      </c>
      <c r="G18" s="31">
        <f>ROUND(工资明细表!E16/30*D18/2,0)</f>
        <v>0</v>
      </c>
      <c r="H18" s="31">
        <f>ROUND(工资明细表!E16/30*E18,0)</f>
        <v>100</v>
      </c>
      <c r="I18" s="31">
        <f>ROUND(IF(F18&gt;15,工资明细表!E16/30/2,IF(F18=0,0,10)),0)</f>
        <v>0</v>
      </c>
      <c r="J18" s="31">
        <f t="shared" si="0"/>
        <v>100</v>
      </c>
      <c r="K18" s="15">
        <f t="shared" si="1"/>
        <v>200</v>
      </c>
    </row>
  </sheetData>
  <mergeCells count="2">
    <mergeCell ref="A1:K1"/>
    <mergeCell ref="A2:K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C1" workbookViewId="0">
      <selection activeCell="G9" sqref="G9"/>
    </sheetView>
  </sheetViews>
  <sheetFormatPr defaultColWidth="20.25" defaultRowHeight="24.75" customHeight="1"/>
  <cols>
    <col min="1" max="1" width="13.625" style="32" customWidth="1"/>
    <col min="2" max="2" width="40.25" style="32" customWidth="1"/>
    <col min="3" max="16384" width="20.25" style="32"/>
  </cols>
  <sheetData>
    <row r="1" spans="1:6" ht="24.75" customHeight="1">
      <c r="A1" s="33" t="s">
        <v>197</v>
      </c>
      <c r="B1" s="33" t="s">
        <v>198</v>
      </c>
      <c r="C1" s="33" t="s">
        <v>199</v>
      </c>
      <c r="D1" s="33" t="s">
        <v>200</v>
      </c>
      <c r="E1" s="33" t="s">
        <v>201</v>
      </c>
      <c r="F1" s="33" t="s">
        <v>202</v>
      </c>
    </row>
    <row r="2" spans="1:6" ht="24.75" customHeight="1">
      <c r="A2" s="33">
        <v>1</v>
      </c>
      <c r="B2" s="33" t="s">
        <v>203</v>
      </c>
      <c r="C2" s="33">
        <v>0</v>
      </c>
      <c r="D2" s="33">
        <v>3000</v>
      </c>
      <c r="E2" s="34">
        <v>0.03</v>
      </c>
      <c r="F2" s="33">
        <v>0</v>
      </c>
    </row>
    <row r="3" spans="1:6" ht="24.75" customHeight="1">
      <c r="A3" s="33">
        <v>2</v>
      </c>
      <c r="B3" s="33" t="s">
        <v>204</v>
      </c>
      <c r="C3" s="33">
        <v>3000</v>
      </c>
      <c r="D3" s="33">
        <v>12000</v>
      </c>
      <c r="E3" s="34">
        <v>0.1</v>
      </c>
      <c r="F3" s="33">
        <v>210</v>
      </c>
    </row>
    <row r="4" spans="1:6" ht="24.75" customHeight="1">
      <c r="A4" s="33">
        <v>3</v>
      </c>
      <c r="B4" s="33" t="s">
        <v>205</v>
      </c>
      <c r="C4" s="33">
        <v>12000</v>
      </c>
      <c r="D4" s="33">
        <v>25000</v>
      </c>
      <c r="E4" s="34">
        <v>0.2</v>
      </c>
      <c r="F4" s="33">
        <v>1410</v>
      </c>
    </row>
    <row r="5" spans="1:6" ht="24.75" customHeight="1">
      <c r="A5" s="33">
        <v>4</v>
      </c>
      <c r="B5" s="33" t="s">
        <v>206</v>
      </c>
      <c r="C5" s="33">
        <v>25000</v>
      </c>
      <c r="D5" s="33">
        <v>35000</v>
      </c>
      <c r="E5" s="34">
        <v>0.25</v>
      </c>
      <c r="F5" s="33">
        <v>2660</v>
      </c>
    </row>
    <row r="6" spans="1:6" ht="24.75" customHeight="1">
      <c r="A6" s="33">
        <v>5</v>
      </c>
      <c r="B6" s="33" t="s">
        <v>207</v>
      </c>
      <c r="C6" s="33">
        <v>35000</v>
      </c>
      <c r="D6" s="33">
        <v>55000</v>
      </c>
      <c r="E6" s="34">
        <v>0.3</v>
      </c>
      <c r="F6" s="33">
        <v>4410</v>
      </c>
    </row>
    <row r="7" spans="1:6" ht="24.75" customHeight="1">
      <c r="A7" s="33">
        <v>6</v>
      </c>
      <c r="B7" s="33" t="s">
        <v>208</v>
      </c>
      <c r="C7" s="33">
        <v>55000</v>
      </c>
      <c r="D7" s="33">
        <v>80000</v>
      </c>
      <c r="E7" s="34">
        <v>0.35</v>
      </c>
      <c r="F7" s="33">
        <v>7160</v>
      </c>
    </row>
    <row r="8" spans="1:6" ht="24.75" customHeight="1">
      <c r="A8" s="33">
        <v>7</v>
      </c>
      <c r="B8" s="33" t="s">
        <v>209</v>
      </c>
      <c r="C8" s="33">
        <v>80000</v>
      </c>
      <c r="D8" s="33">
        <v>800000</v>
      </c>
      <c r="E8" s="34">
        <v>0.45</v>
      </c>
      <c r="F8" s="33">
        <v>15160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8" sqref="F8"/>
    </sheetView>
  </sheetViews>
  <sheetFormatPr defaultRowHeight="13.5"/>
  <cols>
    <col min="1" max="1" width="17.625" bestFit="1" customWidth="1"/>
    <col min="2" max="2" width="13.25" bestFit="1" customWidth="1"/>
    <col min="3" max="4" width="10.75" customWidth="1"/>
    <col min="5" max="5" width="12" customWidth="1"/>
    <col min="6" max="6" width="13.25" customWidth="1"/>
  </cols>
  <sheetData>
    <row r="1" spans="1:6">
      <c r="A1" s="5" t="s">
        <v>219</v>
      </c>
      <c r="B1" s="5" t="s">
        <v>228</v>
      </c>
    </row>
    <row r="2" spans="1:6">
      <c r="A2" s="5" t="s">
        <v>217</v>
      </c>
      <c r="B2" t="s">
        <v>11</v>
      </c>
      <c r="C2" t="s">
        <v>16</v>
      </c>
      <c r="D2" t="s">
        <v>21</v>
      </c>
      <c r="E2" t="s">
        <v>25</v>
      </c>
      <c r="F2" t="s">
        <v>218</v>
      </c>
    </row>
    <row r="3" spans="1:6">
      <c r="A3" s="6" t="s">
        <v>220</v>
      </c>
      <c r="B3" s="7">
        <v>4150.5401999999995</v>
      </c>
      <c r="C3" s="7">
        <v>2935.14</v>
      </c>
      <c r="D3" s="7">
        <v>3782.076</v>
      </c>
      <c r="E3" s="7">
        <v>4561.3739999999998</v>
      </c>
      <c r="F3" s="7">
        <v>15429.1302</v>
      </c>
    </row>
    <row r="4" spans="1:6">
      <c r="A4" s="6" t="s">
        <v>221</v>
      </c>
      <c r="B4" s="7">
        <v>3229.2</v>
      </c>
      <c r="C4" s="7"/>
      <c r="D4" s="7"/>
      <c r="E4" s="7"/>
      <c r="F4" s="7">
        <v>3229.2</v>
      </c>
    </row>
    <row r="5" spans="1:6">
      <c r="A5" s="6" t="s">
        <v>222</v>
      </c>
      <c r="B5" s="7"/>
      <c r="C5" s="7">
        <v>10118.939999999999</v>
      </c>
      <c r="D5" s="7"/>
      <c r="E5" s="7"/>
      <c r="F5" s="7">
        <v>10118.939999999999</v>
      </c>
    </row>
    <row r="6" spans="1:6">
      <c r="A6" s="6" t="s">
        <v>223</v>
      </c>
      <c r="B6" s="7">
        <v>3200.34</v>
      </c>
      <c r="C6" s="7"/>
      <c r="D6" s="7"/>
      <c r="E6" s="7"/>
      <c r="F6" s="7">
        <v>3200.34</v>
      </c>
    </row>
    <row r="7" spans="1:6">
      <c r="A7" s="6" t="s">
        <v>224</v>
      </c>
      <c r="B7" s="7"/>
      <c r="C7" s="7"/>
      <c r="D7" s="7">
        <v>2566.1999999999998</v>
      </c>
      <c r="E7" s="7"/>
      <c r="F7" s="7">
        <v>2566.1999999999998</v>
      </c>
    </row>
    <row r="8" spans="1:6">
      <c r="A8" s="6" t="s">
        <v>225</v>
      </c>
      <c r="B8" s="7"/>
      <c r="C8" s="7"/>
      <c r="D8" s="7">
        <v>2919.54</v>
      </c>
      <c r="E8" s="7"/>
      <c r="F8" s="7">
        <v>2919.54</v>
      </c>
    </row>
    <row r="9" spans="1:6">
      <c r="A9" s="6" t="s">
        <v>226</v>
      </c>
      <c r="B9" s="7"/>
      <c r="C9" s="7"/>
      <c r="D9" s="7"/>
      <c r="E9" s="7">
        <v>7987.2000000000007</v>
      </c>
      <c r="F9" s="7">
        <v>7987.2000000000007</v>
      </c>
    </row>
    <row r="10" spans="1:6">
      <c r="A10" s="6" t="s">
        <v>227</v>
      </c>
      <c r="B10" s="7">
        <v>4160.3760000000002</v>
      </c>
      <c r="C10" s="7"/>
      <c r="D10" s="7"/>
      <c r="E10" s="7"/>
      <c r="F10" s="7">
        <v>4160.3760000000002</v>
      </c>
    </row>
    <row r="11" spans="1:6">
      <c r="A11" s="6" t="s">
        <v>218</v>
      </c>
      <c r="B11" s="7">
        <v>14740.456200000001</v>
      </c>
      <c r="C11" s="7">
        <v>13054.079999999998</v>
      </c>
      <c r="D11" s="7">
        <v>9267.8159999999989</v>
      </c>
      <c r="E11" s="7">
        <v>12548.574000000001</v>
      </c>
      <c r="F11" s="7">
        <v>49610.926200000002</v>
      </c>
    </row>
  </sheetData>
  <phoneticPr fontId="1" type="noConversion"/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0"/>
  <sheetViews>
    <sheetView workbookViewId="0">
      <selection activeCell="A3" sqref="A3"/>
    </sheetView>
  </sheetViews>
  <sheetFormatPr defaultRowHeight="13.5"/>
  <cols>
    <col min="1" max="1" width="17.625" bestFit="1" customWidth="1"/>
    <col min="2" max="2" width="9.75" bestFit="1" customWidth="1"/>
    <col min="3" max="3" width="6.25" bestFit="1" customWidth="1"/>
    <col min="4" max="4" width="9.75" bestFit="1" customWidth="1"/>
    <col min="5" max="5" width="6.25" bestFit="1" customWidth="1"/>
    <col min="6" max="6" width="9.75" bestFit="1" customWidth="1"/>
    <col min="7" max="9" width="7.75" bestFit="1" customWidth="1"/>
    <col min="10" max="10" width="7.375" bestFit="1" customWidth="1"/>
  </cols>
  <sheetData>
    <row r="3" spans="1:10">
      <c r="A3" s="5" t="s">
        <v>257</v>
      </c>
      <c r="B3" s="5" t="s">
        <v>228</v>
      </c>
    </row>
    <row r="4" spans="1:10">
      <c r="A4" s="5" t="s">
        <v>217</v>
      </c>
      <c r="B4" t="s">
        <v>220</v>
      </c>
      <c r="C4" t="s">
        <v>221</v>
      </c>
      <c r="D4" t="s">
        <v>222</v>
      </c>
      <c r="E4" t="s">
        <v>223</v>
      </c>
      <c r="F4" t="s">
        <v>224</v>
      </c>
      <c r="G4" t="s">
        <v>225</v>
      </c>
      <c r="H4" t="s">
        <v>226</v>
      </c>
      <c r="I4" t="s">
        <v>227</v>
      </c>
      <c r="J4" t="s">
        <v>218</v>
      </c>
    </row>
    <row r="5" spans="1:10">
      <c r="A5" s="6" t="s">
        <v>256</v>
      </c>
      <c r="B5" s="7"/>
      <c r="C5" s="7"/>
      <c r="D5" s="7">
        <v>4000</v>
      </c>
      <c r="E5" s="7"/>
      <c r="F5" s="7"/>
      <c r="G5" s="7"/>
      <c r="H5" s="7"/>
      <c r="I5" s="7"/>
      <c r="J5" s="7">
        <v>4000</v>
      </c>
    </row>
    <row r="6" spans="1:10">
      <c r="A6" s="6" t="s">
        <v>17</v>
      </c>
      <c r="B6" s="7"/>
      <c r="C6" s="7"/>
      <c r="D6" s="7">
        <v>4000</v>
      </c>
      <c r="E6" s="7"/>
      <c r="F6" s="7"/>
      <c r="G6" s="7"/>
      <c r="H6" s="7"/>
      <c r="I6" s="7"/>
      <c r="J6" s="7">
        <v>4000</v>
      </c>
    </row>
    <row r="7" spans="1:10">
      <c r="A7" s="6" t="s">
        <v>8</v>
      </c>
      <c r="B7" s="7">
        <v>5000</v>
      </c>
      <c r="C7" s="7"/>
      <c r="D7" s="7"/>
      <c r="E7" s="7"/>
      <c r="F7" s="7"/>
      <c r="G7" s="7"/>
      <c r="H7" s="7"/>
      <c r="I7" s="7"/>
      <c r="J7" s="7">
        <v>5000</v>
      </c>
    </row>
    <row r="8" spans="1:10">
      <c r="A8" s="6" t="s">
        <v>24</v>
      </c>
      <c r="B8" s="7"/>
      <c r="C8" s="7"/>
      <c r="D8" s="7"/>
      <c r="E8" s="7"/>
      <c r="F8" s="7"/>
      <c r="G8" s="7"/>
      <c r="H8" s="7">
        <v>3000</v>
      </c>
      <c r="I8" s="7"/>
      <c r="J8" s="7">
        <v>3000</v>
      </c>
    </row>
    <row r="9" spans="1:10">
      <c r="A9" s="6" t="s">
        <v>20</v>
      </c>
      <c r="B9" s="7">
        <v>4500</v>
      </c>
      <c r="C9" s="7"/>
      <c r="D9" s="7"/>
      <c r="E9" s="7"/>
      <c r="F9" s="7"/>
      <c r="G9" s="7"/>
      <c r="H9" s="7"/>
      <c r="I9" s="7"/>
      <c r="J9" s="7">
        <v>4500</v>
      </c>
    </row>
    <row r="10" spans="1:10">
      <c r="A10" s="6" t="s">
        <v>13</v>
      </c>
      <c r="B10" s="7"/>
      <c r="C10" s="7"/>
      <c r="D10" s="7"/>
      <c r="E10" s="7">
        <v>3800</v>
      </c>
      <c r="F10" s="7"/>
      <c r="G10" s="7"/>
      <c r="H10" s="7"/>
      <c r="I10" s="7"/>
      <c r="J10" s="7">
        <v>3800</v>
      </c>
    </row>
    <row r="11" spans="1:10">
      <c r="A11" s="6" t="s">
        <v>22</v>
      </c>
      <c r="B11" s="7"/>
      <c r="C11" s="7"/>
      <c r="D11" s="7"/>
      <c r="E11" s="7"/>
      <c r="F11" s="7"/>
      <c r="G11" s="7">
        <v>3500</v>
      </c>
      <c r="H11" s="7"/>
      <c r="I11" s="7"/>
      <c r="J11" s="7">
        <v>3500</v>
      </c>
    </row>
    <row r="12" spans="1:10">
      <c r="A12" s="6" t="s">
        <v>26</v>
      </c>
      <c r="B12" s="7"/>
      <c r="C12" s="7"/>
      <c r="D12" s="7"/>
      <c r="E12" s="7"/>
      <c r="F12" s="7"/>
      <c r="G12" s="7"/>
      <c r="H12" s="7">
        <v>3000</v>
      </c>
      <c r="I12" s="7"/>
      <c r="J12" s="7">
        <v>3000</v>
      </c>
    </row>
    <row r="13" spans="1:10">
      <c r="A13" s="6" t="s">
        <v>14</v>
      </c>
      <c r="B13" s="7"/>
      <c r="C13" s="7"/>
      <c r="D13" s="7"/>
      <c r="E13" s="7"/>
      <c r="F13" s="7"/>
      <c r="G13" s="7"/>
      <c r="H13" s="7"/>
      <c r="I13" s="7">
        <v>5000</v>
      </c>
      <c r="J13" s="7">
        <v>5000</v>
      </c>
    </row>
    <row r="14" spans="1:10">
      <c r="A14" s="6" t="s">
        <v>15</v>
      </c>
      <c r="B14" s="7"/>
      <c r="C14" s="7">
        <v>4000</v>
      </c>
      <c r="D14" s="7"/>
      <c r="E14" s="7"/>
      <c r="F14" s="7"/>
      <c r="G14" s="7"/>
      <c r="H14" s="7"/>
      <c r="I14" s="7"/>
      <c r="J14" s="7">
        <v>4000</v>
      </c>
    </row>
    <row r="15" spans="1:10">
      <c r="A15" s="6" t="s">
        <v>18</v>
      </c>
      <c r="B15" s="7">
        <v>3500</v>
      </c>
      <c r="C15" s="7"/>
      <c r="D15" s="7"/>
      <c r="E15" s="7"/>
      <c r="F15" s="7"/>
      <c r="G15" s="7"/>
      <c r="H15" s="7"/>
      <c r="I15" s="7"/>
      <c r="J15" s="7">
        <v>3500</v>
      </c>
    </row>
    <row r="16" spans="1:10">
      <c r="A16" s="6" t="s">
        <v>27</v>
      </c>
      <c r="B16" s="7">
        <v>5500</v>
      </c>
      <c r="C16" s="7"/>
      <c r="D16" s="7"/>
      <c r="E16" s="7"/>
      <c r="F16" s="7"/>
      <c r="G16" s="7"/>
      <c r="H16" s="7"/>
      <c r="I16" s="7"/>
      <c r="J16" s="7">
        <v>5500</v>
      </c>
    </row>
    <row r="17" spans="1:10">
      <c r="A17" s="6" t="s">
        <v>28</v>
      </c>
      <c r="B17" s="7"/>
      <c r="C17" s="7"/>
      <c r="D17" s="7"/>
      <c r="E17" s="7"/>
      <c r="F17" s="7"/>
      <c r="G17" s="7"/>
      <c r="H17" s="7">
        <v>3000</v>
      </c>
      <c r="I17" s="7"/>
      <c r="J17" s="7">
        <v>3000</v>
      </c>
    </row>
    <row r="18" spans="1:10">
      <c r="A18" s="6" t="s">
        <v>19</v>
      </c>
      <c r="B18" s="7"/>
      <c r="C18" s="7"/>
      <c r="D18" s="7">
        <v>3800</v>
      </c>
      <c r="E18" s="7"/>
      <c r="F18" s="7"/>
      <c r="G18" s="7"/>
      <c r="H18" s="7"/>
      <c r="I18" s="7"/>
      <c r="J18" s="7">
        <v>3800</v>
      </c>
    </row>
    <row r="19" spans="1:10">
      <c r="A19" s="6" t="s">
        <v>23</v>
      </c>
      <c r="B19" s="7"/>
      <c r="C19" s="7"/>
      <c r="D19" s="7"/>
      <c r="E19" s="7"/>
      <c r="F19" s="7">
        <v>3000</v>
      </c>
      <c r="G19" s="7"/>
      <c r="H19" s="7"/>
      <c r="I19" s="7"/>
      <c r="J19" s="7">
        <v>3000</v>
      </c>
    </row>
    <row r="20" spans="1:10">
      <c r="A20" s="6" t="s">
        <v>218</v>
      </c>
      <c r="B20" s="7">
        <v>18500</v>
      </c>
      <c r="C20" s="7">
        <v>4000</v>
      </c>
      <c r="D20" s="7">
        <v>11800</v>
      </c>
      <c r="E20" s="7">
        <v>3800</v>
      </c>
      <c r="F20" s="7">
        <v>3000</v>
      </c>
      <c r="G20" s="7">
        <v>3500</v>
      </c>
      <c r="H20" s="7">
        <v>9000</v>
      </c>
      <c r="I20" s="7">
        <v>5000</v>
      </c>
      <c r="J20" s="7">
        <v>58600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21"/>
  <sheetViews>
    <sheetView topLeftCell="H1" zoomScaleNormal="100" workbookViewId="0">
      <selection activeCell="O2" sqref="O2"/>
    </sheetView>
  </sheetViews>
  <sheetFormatPr defaultRowHeight="13.5"/>
  <cols>
    <col min="1" max="1" width="13.125" customWidth="1"/>
    <col min="2" max="2" width="11.375" customWidth="1"/>
    <col min="3" max="3" width="12.75" customWidth="1"/>
    <col min="4" max="4" width="13.125" customWidth="1"/>
    <col min="5" max="5" width="15.125" customWidth="1"/>
    <col min="6" max="7" width="12.5" bestFit="1" customWidth="1"/>
    <col min="8" max="8" width="13.625" customWidth="1"/>
    <col min="9" max="9" width="12.5" bestFit="1" customWidth="1"/>
    <col min="10" max="10" width="13.625" customWidth="1"/>
    <col min="11" max="11" width="11.25" customWidth="1"/>
    <col min="12" max="12" width="12.375" customWidth="1"/>
    <col min="13" max="13" width="11.625" customWidth="1"/>
    <col min="14" max="14" width="14.125" bestFit="1" customWidth="1"/>
    <col min="15" max="15" width="10.875" bestFit="1" customWidth="1"/>
    <col min="16" max="16" width="13" bestFit="1" customWidth="1"/>
  </cols>
  <sheetData>
    <row r="1" spans="1:16" ht="20.25">
      <c r="A1" s="17" t="s">
        <v>54</v>
      </c>
      <c r="B1" s="17" t="s">
        <v>55</v>
      </c>
      <c r="C1" s="17" t="s">
        <v>56</v>
      </c>
      <c r="D1" s="17" t="s">
        <v>6</v>
      </c>
      <c r="E1" s="17" t="s">
        <v>57</v>
      </c>
      <c r="F1" s="17" t="s">
        <v>58</v>
      </c>
      <c r="G1" s="17" t="s">
        <v>59</v>
      </c>
      <c r="H1" s="17" t="s">
        <v>60</v>
      </c>
      <c r="I1" s="17" t="s">
        <v>62</v>
      </c>
      <c r="J1" s="17" t="s">
        <v>61</v>
      </c>
      <c r="K1" s="35" t="s">
        <v>210</v>
      </c>
      <c r="L1" s="35" t="s">
        <v>211</v>
      </c>
      <c r="M1" s="17" t="s">
        <v>213</v>
      </c>
      <c r="N1" s="36" t="s">
        <v>212</v>
      </c>
      <c r="O1" s="17" t="s">
        <v>63</v>
      </c>
      <c r="P1" s="17" t="s">
        <v>64</v>
      </c>
    </row>
    <row r="2" spans="1:16" ht="20.25">
      <c r="A2" s="37" t="s">
        <v>65</v>
      </c>
      <c r="B2" s="35" t="s">
        <v>66</v>
      </c>
      <c r="C2" s="35" t="s">
        <v>11</v>
      </c>
      <c r="D2" s="17" t="s">
        <v>222</v>
      </c>
      <c r="E2" s="36">
        <f t="shared" ref="E2:E16" si="0">VLOOKUP(A2,工资调整,9,1)</f>
        <v>4000</v>
      </c>
      <c r="F2" s="36">
        <f>请假记录!K4</f>
        <v>200</v>
      </c>
      <c r="G2" s="36">
        <v>100</v>
      </c>
      <c r="H2" s="36">
        <f t="shared" ref="H2:H16" si="1">VLOOKUP(A2,加班记录汇总,2,1)</f>
        <v>80</v>
      </c>
      <c r="I2" s="36">
        <f t="shared" ref="I2:I16" si="2">VLOOKUP(A2,缺勤总扣款,10,1)</f>
        <v>67</v>
      </c>
      <c r="J2" s="36">
        <f t="shared" ref="J2:J16" si="3">SUM(E2:H2)-I2</f>
        <v>4313</v>
      </c>
      <c r="K2" s="35">
        <f t="shared" ref="K2:K16" si="4">J2*8%</f>
        <v>345.04</v>
      </c>
      <c r="L2" s="35">
        <f t="shared" ref="L2:L16" si="5">J2*2%</f>
        <v>86.26</v>
      </c>
      <c r="M2" s="35">
        <f t="shared" ref="M2:M16" si="6">J2*12%</f>
        <v>517.55999999999995</v>
      </c>
      <c r="N2" s="36">
        <f t="shared" ref="N2:N16" si="7">J2-K2-L2-M2</f>
        <v>3364.14</v>
      </c>
      <c r="O2" s="36">
        <f t="shared" ref="O2:O16" si="8">IF(N2-3500&lt;=0,0,(N2-3500)*VLOOKUP(N2-3500,个税税率表,3,1)-VLOOKUP(N2-3500,个税税率表,4,1))</f>
        <v>0</v>
      </c>
      <c r="P2" s="36">
        <f t="shared" ref="P2:P16" si="9">N2-O2</f>
        <v>3364.14</v>
      </c>
    </row>
    <row r="3" spans="1:16" ht="20.25">
      <c r="A3" s="37" t="s">
        <v>8</v>
      </c>
      <c r="B3" s="35" t="s">
        <v>68</v>
      </c>
      <c r="C3" s="35" t="s">
        <v>11</v>
      </c>
      <c r="D3" s="17" t="s">
        <v>12</v>
      </c>
      <c r="E3" s="36">
        <f t="shared" si="0"/>
        <v>5000</v>
      </c>
      <c r="F3" s="36">
        <f>请假记录!K6</f>
        <v>200</v>
      </c>
      <c r="G3" s="36">
        <v>150</v>
      </c>
      <c r="H3" s="36">
        <f t="shared" si="1"/>
        <v>80</v>
      </c>
      <c r="I3" s="36">
        <f t="shared" si="2"/>
        <v>63</v>
      </c>
      <c r="J3" s="36">
        <f t="shared" si="3"/>
        <v>5367</v>
      </c>
      <c r="K3" s="35">
        <f t="shared" si="4"/>
        <v>429.36</v>
      </c>
      <c r="L3" s="35">
        <f t="shared" si="5"/>
        <v>107.34</v>
      </c>
      <c r="M3" s="35">
        <f t="shared" si="6"/>
        <v>644.04</v>
      </c>
      <c r="N3" s="36">
        <f t="shared" si="7"/>
        <v>4186.26</v>
      </c>
      <c r="O3" s="36">
        <f t="shared" si="8"/>
        <v>20.587800000000005</v>
      </c>
      <c r="P3" s="36">
        <f t="shared" si="9"/>
        <v>4165.6722</v>
      </c>
    </row>
    <row r="4" spans="1:16" ht="20.25">
      <c r="A4" s="37" t="s">
        <v>13</v>
      </c>
      <c r="B4" s="35" t="s">
        <v>71</v>
      </c>
      <c r="C4" s="35" t="s">
        <v>11</v>
      </c>
      <c r="D4" s="17" t="s">
        <v>31</v>
      </c>
      <c r="E4" s="36">
        <f t="shared" si="0"/>
        <v>3800</v>
      </c>
      <c r="F4" s="36">
        <f>请假记录!K9</f>
        <v>200</v>
      </c>
      <c r="G4" s="36">
        <v>150</v>
      </c>
      <c r="H4" s="36">
        <f t="shared" si="1"/>
        <v>80</v>
      </c>
      <c r="I4" s="36">
        <f t="shared" si="2"/>
        <v>133</v>
      </c>
      <c r="J4" s="36">
        <f t="shared" si="3"/>
        <v>4097</v>
      </c>
      <c r="K4" s="35">
        <f t="shared" si="4"/>
        <v>327.76</v>
      </c>
      <c r="L4" s="35">
        <f t="shared" si="5"/>
        <v>81.94</v>
      </c>
      <c r="M4" s="35">
        <f t="shared" si="6"/>
        <v>491.64</v>
      </c>
      <c r="N4" s="36">
        <f t="shared" si="7"/>
        <v>3195.66</v>
      </c>
      <c r="O4" s="36">
        <f t="shared" si="8"/>
        <v>0</v>
      </c>
      <c r="P4" s="36">
        <f t="shared" si="9"/>
        <v>3195.66</v>
      </c>
    </row>
    <row r="5" spans="1:16" ht="20.25">
      <c r="A5" s="37" t="s">
        <v>14</v>
      </c>
      <c r="B5" s="35" t="s">
        <v>74</v>
      </c>
      <c r="C5" s="35" t="s">
        <v>11</v>
      </c>
      <c r="D5" s="17" t="s">
        <v>33</v>
      </c>
      <c r="E5" s="36">
        <f t="shared" si="0"/>
        <v>5000</v>
      </c>
      <c r="F5" s="36">
        <f>请假记录!K12</f>
        <v>200</v>
      </c>
      <c r="G5" s="36">
        <v>120</v>
      </c>
      <c r="H5" s="36">
        <f t="shared" si="1"/>
        <v>40</v>
      </c>
      <c r="I5" s="36">
        <f t="shared" si="2"/>
        <v>0</v>
      </c>
      <c r="J5" s="36">
        <f t="shared" si="3"/>
        <v>5360</v>
      </c>
      <c r="K5" s="35">
        <f t="shared" si="4"/>
        <v>428.8</v>
      </c>
      <c r="L5" s="35">
        <f t="shared" si="5"/>
        <v>107.2</v>
      </c>
      <c r="M5" s="35">
        <f t="shared" si="6"/>
        <v>643.19999999999993</v>
      </c>
      <c r="N5" s="36">
        <f t="shared" si="7"/>
        <v>4180.8</v>
      </c>
      <c r="O5" s="36">
        <f t="shared" si="8"/>
        <v>20.424000000000003</v>
      </c>
      <c r="P5" s="36">
        <f t="shared" si="9"/>
        <v>4160.3760000000002</v>
      </c>
    </row>
    <row r="6" spans="1:16" ht="20.25">
      <c r="A6" s="37" t="s">
        <v>15</v>
      </c>
      <c r="B6" s="35" t="s">
        <v>75</v>
      </c>
      <c r="C6" s="35" t="s">
        <v>11</v>
      </c>
      <c r="D6" s="17" t="s">
        <v>35</v>
      </c>
      <c r="E6" s="36">
        <f t="shared" si="0"/>
        <v>4000</v>
      </c>
      <c r="F6" s="36">
        <f>请假记录!K13</f>
        <v>0</v>
      </c>
      <c r="G6" s="36">
        <v>300</v>
      </c>
      <c r="H6" s="36">
        <f t="shared" si="1"/>
        <v>40</v>
      </c>
      <c r="I6" s="36">
        <f t="shared" si="2"/>
        <v>175</v>
      </c>
      <c r="J6" s="36">
        <f t="shared" si="3"/>
        <v>4165</v>
      </c>
      <c r="K6" s="35">
        <f t="shared" si="4"/>
        <v>333.2</v>
      </c>
      <c r="L6" s="35">
        <f t="shared" si="5"/>
        <v>83.3</v>
      </c>
      <c r="M6" s="35">
        <f t="shared" si="6"/>
        <v>499.79999999999995</v>
      </c>
      <c r="N6" s="36">
        <f t="shared" si="7"/>
        <v>3248.7</v>
      </c>
      <c r="O6" s="36">
        <f t="shared" si="8"/>
        <v>0</v>
      </c>
      <c r="P6" s="36">
        <f t="shared" si="9"/>
        <v>3248.7</v>
      </c>
    </row>
    <row r="7" spans="1:16" ht="20.25">
      <c r="A7" s="37" t="s">
        <v>17</v>
      </c>
      <c r="B7" s="35" t="s">
        <v>67</v>
      </c>
      <c r="C7" s="35" t="s">
        <v>16</v>
      </c>
      <c r="D7" s="17" t="s">
        <v>39</v>
      </c>
      <c r="E7" s="36">
        <f t="shared" si="0"/>
        <v>4000</v>
      </c>
      <c r="F7" s="36">
        <f>请假记录!K5</f>
        <v>200</v>
      </c>
      <c r="G7" s="36">
        <v>120</v>
      </c>
      <c r="H7" s="36">
        <f t="shared" si="1"/>
        <v>40</v>
      </c>
      <c r="I7" s="36">
        <f t="shared" si="2"/>
        <v>0</v>
      </c>
      <c r="J7" s="36">
        <f t="shared" si="3"/>
        <v>4360</v>
      </c>
      <c r="K7" s="35">
        <f t="shared" si="4"/>
        <v>348.8</v>
      </c>
      <c r="L7" s="35">
        <f t="shared" si="5"/>
        <v>87.2</v>
      </c>
      <c r="M7" s="35">
        <f t="shared" si="6"/>
        <v>523.19999999999993</v>
      </c>
      <c r="N7" s="36">
        <f t="shared" si="7"/>
        <v>3400.8</v>
      </c>
      <c r="O7" s="36">
        <f t="shared" si="8"/>
        <v>0</v>
      </c>
      <c r="P7" s="36">
        <f t="shared" si="9"/>
        <v>3400.8</v>
      </c>
    </row>
    <row r="8" spans="1:16" ht="20.25">
      <c r="A8" s="37" t="s">
        <v>18</v>
      </c>
      <c r="B8" s="35" t="s">
        <v>76</v>
      </c>
      <c r="C8" s="35" t="s">
        <v>16</v>
      </c>
      <c r="D8" s="17" t="s">
        <v>12</v>
      </c>
      <c r="E8" s="36">
        <f t="shared" si="0"/>
        <v>3500</v>
      </c>
      <c r="F8" s="36">
        <f>请假记录!K14</f>
        <v>200</v>
      </c>
      <c r="G8" s="36">
        <v>100</v>
      </c>
      <c r="H8" s="36">
        <f t="shared" si="1"/>
        <v>80</v>
      </c>
      <c r="I8" s="36">
        <f t="shared" si="2"/>
        <v>100</v>
      </c>
      <c r="J8" s="36">
        <f t="shared" si="3"/>
        <v>3780</v>
      </c>
      <c r="K8" s="35">
        <f t="shared" si="4"/>
        <v>302.40000000000003</v>
      </c>
      <c r="L8" s="35">
        <f t="shared" si="5"/>
        <v>75.600000000000009</v>
      </c>
      <c r="M8" s="35">
        <f t="shared" si="6"/>
        <v>453.59999999999997</v>
      </c>
      <c r="N8" s="36">
        <f t="shared" si="7"/>
        <v>2948.4</v>
      </c>
      <c r="O8" s="36">
        <f t="shared" si="8"/>
        <v>0</v>
      </c>
      <c r="P8" s="36">
        <f t="shared" si="9"/>
        <v>2948.4</v>
      </c>
    </row>
    <row r="9" spans="1:16" ht="20.25">
      <c r="A9" s="37" t="s">
        <v>19</v>
      </c>
      <c r="B9" s="35" t="s">
        <v>79</v>
      </c>
      <c r="C9" s="35" t="s">
        <v>16</v>
      </c>
      <c r="D9" s="17" t="s">
        <v>39</v>
      </c>
      <c r="E9" s="36">
        <f t="shared" si="0"/>
        <v>3800</v>
      </c>
      <c r="F9" s="36">
        <f>请假记录!K17</f>
        <v>200</v>
      </c>
      <c r="G9" s="36">
        <v>300</v>
      </c>
      <c r="H9" s="36">
        <f t="shared" si="1"/>
        <v>40</v>
      </c>
      <c r="I9" s="36">
        <f t="shared" si="2"/>
        <v>0</v>
      </c>
      <c r="J9" s="36">
        <f t="shared" si="3"/>
        <v>4340</v>
      </c>
      <c r="K9" s="35">
        <f t="shared" si="4"/>
        <v>347.2</v>
      </c>
      <c r="L9" s="35">
        <f t="shared" si="5"/>
        <v>86.8</v>
      </c>
      <c r="M9" s="35">
        <f t="shared" si="6"/>
        <v>520.79999999999995</v>
      </c>
      <c r="N9" s="36">
        <f t="shared" si="7"/>
        <v>3385.2</v>
      </c>
      <c r="O9" s="36">
        <f t="shared" si="8"/>
        <v>0</v>
      </c>
      <c r="P9" s="36">
        <f t="shared" si="9"/>
        <v>3385.2</v>
      </c>
    </row>
    <row r="10" spans="1:16" ht="20.25">
      <c r="A10" s="37" t="s">
        <v>20</v>
      </c>
      <c r="B10" s="35" t="s">
        <v>70</v>
      </c>
      <c r="C10" s="35" t="s">
        <v>21</v>
      </c>
      <c r="D10" s="17" t="s">
        <v>12</v>
      </c>
      <c r="E10" s="36">
        <f t="shared" si="0"/>
        <v>4500</v>
      </c>
      <c r="F10" s="36">
        <f>请假记录!K8</f>
        <v>200</v>
      </c>
      <c r="G10" s="36">
        <v>120</v>
      </c>
      <c r="H10" s="36">
        <f t="shared" si="1"/>
        <v>40</v>
      </c>
      <c r="I10" s="36">
        <f t="shared" si="2"/>
        <v>0</v>
      </c>
      <c r="J10" s="36">
        <f t="shared" si="3"/>
        <v>4860</v>
      </c>
      <c r="K10" s="35">
        <f t="shared" si="4"/>
        <v>388.8</v>
      </c>
      <c r="L10" s="35">
        <f t="shared" si="5"/>
        <v>97.2</v>
      </c>
      <c r="M10" s="35">
        <f t="shared" si="6"/>
        <v>583.19999999999993</v>
      </c>
      <c r="N10" s="36">
        <f t="shared" si="7"/>
        <v>3790.8</v>
      </c>
      <c r="O10" s="36">
        <f t="shared" si="8"/>
        <v>8.7240000000000055</v>
      </c>
      <c r="P10" s="36">
        <f t="shared" si="9"/>
        <v>3782.076</v>
      </c>
    </row>
    <row r="11" spans="1:16" ht="20.25">
      <c r="A11" s="37" t="s">
        <v>22</v>
      </c>
      <c r="B11" s="35" t="s">
        <v>72</v>
      </c>
      <c r="C11" s="35" t="s">
        <v>21</v>
      </c>
      <c r="D11" s="17" t="s">
        <v>46</v>
      </c>
      <c r="E11" s="36">
        <f t="shared" si="0"/>
        <v>3500</v>
      </c>
      <c r="F11" s="36">
        <f>请假记录!K10</f>
        <v>200</v>
      </c>
      <c r="G11" s="36">
        <v>120</v>
      </c>
      <c r="H11" s="36">
        <f t="shared" si="1"/>
        <v>40</v>
      </c>
      <c r="I11" s="36">
        <f t="shared" si="2"/>
        <v>117</v>
      </c>
      <c r="J11" s="36">
        <f t="shared" si="3"/>
        <v>3743</v>
      </c>
      <c r="K11" s="35">
        <f t="shared" si="4"/>
        <v>299.44</v>
      </c>
      <c r="L11" s="35">
        <f t="shared" si="5"/>
        <v>74.86</v>
      </c>
      <c r="M11" s="35">
        <f t="shared" si="6"/>
        <v>449.15999999999997</v>
      </c>
      <c r="N11" s="36">
        <f t="shared" si="7"/>
        <v>2919.54</v>
      </c>
      <c r="O11" s="36">
        <f t="shared" si="8"/>
        <v>0</v>
      </c>
      <c r="P11" s="36">
        <f t="shared" si="9"/>
        <v>2919.54</v>
      </c>
    </row>
    <row r="12" spans="1:16" ht="20.25">
      <c r="A12" s="37" t="s">
        <v>23</v>
      </c>
      <c r="B12" s="35" t="s">
        <v>80</v>
      </c>
      <c r="C12" s="35" t="s">
        <v>21</v>
      </c>
      <c r="D12" s="17" t="s">
        <v>48</v>
      </c>
      <c r="E12" s="36">
        <f t="shared" si="0"/>
        <v>3000</v>
      </c>
      <c r="F12" s="36">
        <f>请假记录!K18</f>
        <v>200</v>
      </c>
      <c r="G12" s="36">
        <v>150</v>
      </c>
      <c r="H12" s="36">
        <f t="shared" si="1"/>
        <v>40</v>
      </c>
      <c r="I12" s="36">
        <f t="shared" si="2"/>
        <v>100</v>
      </c>
      <c r="J12" s="36">
        <f t="shared" si="3"/>
        <v>3290</v>
      </c>
      <c r="K12" s="35">
        <f t="shared" si="4"/>
        <v>263.2</v>
      </c>
      <c r="L12" s="35">
        <f t="shared" si="5"/>
        <v>65.8</v>
      </c>
      <c r="M12" s="35">
        <f t="shared" si="6"/>
        <v>394.8</v>
      </c>
      <c r="N12" s="36">
        <f t="shared" si="7"/>
        <v>2566.1999999999998</v>
      </c>
      <c r="O12" s="36">
        <f t="shared" si="8"/>
        <v>0</v>
      </c>
      <c r="P12" s="36">
        <f t="shared" si="9"/>
        <v>2566.1999999999998</v>
      </c>
    </row>
    <row r="13" spans="1:16" ht="20.25">
      <c r="A13" s="37" t="s">
        <v>24</v>
      </c>
      <c r="B13" s="35" t="s">
        <v>69</v>
      </c>
      <c r="C13" s="35" t="s">
        <v>25</v>
      </c>
      <c r="D13" s="17" t="s">
        <v>50</v>
      </c>
      <c r="E13" s="36">
        <f t="shared" si="0"/>
        <v>3000</v>
      </c>
      <c r="F13" s="36">
        <f>请假记录!K7</f>
        <v>200</v>
      </c>
      <c r="G13" s="36">
        <v>300</v>
      </c>
      <c r="H13" s="36">
        <f t="shared" si="1"/>
        <v>80</v>
      </c>
      <c r="I13" s="36">
        <f t="shared" si="2"/>
        <v>333</v>
      </c>
      <c r="J13" s="36">
        <f t="shared" si="3"/>
        <v>3247</v>
      </c>
      <c r="K13" s="35">
        <f t="shared" si="4"/>
        <v>259.76</v>
      </c>
      <c r="L13" s="35">
        <f t="shared" si="5"/>
        <v>64.94</v>
      </c>
      <c r="M13" s="35">
        <f t="shared" si="6"/>
        <v>389.64</v>
      </c>
      <c r="N13" s="36">
        <f t="shared" si="7"/>
        <v>2532.66</v>
      </c>
      <c r="O13" s="36">
        <f t="shared" si="8"/>
        <v>0</v>
      </c>
      <c r="P13" s="36">
        <f t="shared" si="9"/>
        <v>2532.66</v>
      </c>
    </row>
    <row r="14" spans="1:16" ht="20.25">
      <c r="A14" s="37" t="s">
        <v>26</v>
      </c>
      <c r="B14" s="35" t="s">
        <v>73</v>
      </c>
      <c r="C14" s="35" t="s">
        <v>25</v>
      </c>
      <c r="D14" s="17" t="s">
        <v>50</v>
      </c>
      <c r="E14" s="36">
        <f t="shared" si="0"/>
        <v>3000</v>
      </c>
      <c r="F14" s="36">
        <f>请假记录!K11</f>
        <v>200</v>
      </c>
      <c r="G14" s="36">
        <v>300</v>
      </c>
      <c r="H14" s="36">
        <f t="shared" si="1"/>
        <v>80</v>
      </c>
      <c r="I14" s="36">
        <f t="shared" si="2"/>
        <v>63</v>
      </c>
      <c r="J14" s="36">
        <f t="shared" si="3"/>
        <v>3517</v>
      </c>
      <c r="K14" s="35">
        <f t="shared" si="4"/>
        <v>281.36</v>
      </c>
      <c r="L14" s="35">
        <f t="shared" si="5"/>
        <v>70.34</v>
      </c>
      <c r="M14" s="35">
        <f t="shared" si="6"/>
        <v>422.03999999999996</v>
      </c>
      <c r="N14" s="36">
        <f t="shared" si="7"/>
        <v>2743.2599999999998</v>
      </c>
      <c r="O14" s="36">
        <f t="shared" si="8"/>
        <v>0</v>
      </c>
      <c r="P14" s="36">
        <f t="shared" si="9"/>
        <v>2743.2599999999998</v>
      </c>
    </row>
    <row r="15" spans="1:16" ht="20.25">
      <c r="A15" s="37" t="s">
        <v>27</v>
      </c>
      <c r="B15" s="35" t="s">
        <v>77</v>
      </c>
      <c r="C15" s="35" t="s">
        <v>25</v>
      </c>
      <c r="D15" s="17" t="s">
        <v>12</v>
      </c>
      <c r="E15" s="36">
        <f t="shared" si="0"/>
        <v>5500</v>
      </c>
      <c r="F15" s="36">
        <f>请假记录!K15</f>
        <v>200</v>
      </c>
      <c r="G15" s="36">
        <v>150</v>
      </c>
      <c r="H15" s="36">
        <f t="shared" si="1"/>
        <v>40</v>
      </c>
      <c r="I15" s="36">
        <f t="shared" si="2"/>
        <v>0</v>
      </c>
      <c r="J15" s="36">
        <f t="shared" si="3"/>
        <v>5890</v>
      </c>
      <c r="K15" s="35">
        <f t="shared" si="4"/>
        <v>471.2</v>
      </c>
      <c r="L15" s="35">
        <f t="shared" si="5"/>
        <v>117.8</v>
      </c>
      <c r="M15" s="35">
        <f t="shared" si="6"/>
        <v>706.8</v>
      </c>
      <c r="N15" s="36">
        <f t="shared" si="7"/>
        <v>4594.2</v>
      </c>
      <c r="O15" s="36">
        <f t="shared" si="8"/>
        <v>32.825999999999993</v>
      </c>
      <c r="P15" s="36">
        <f t="shared" si="9"/>
        <v>4561.3739999999998</v>
      </c>
    </row>
    <row r="16" spans="1:16" ht="20.25">
      <c r="A16" s="37" t="s">
        <v>28</v>
      </c>
      <c r="B16" s="35" t="s">
        <v>78</v>
      </c>
      <c r="C16" s="35" t="s">
        <v>25</v>
      </c>
      <c r="D16" s="17" t="s">
        <v>50</v>
      </c>
      <c r="E16" s="36">
        <f t="shared" si="0"/>
        <v>3000</v>
      </c>
      <c r="F16" s="36">
        <f>请假记录!K16</f>
        <v>200</v>
      </c>
      <c r="G16" s="36">
        <v>100</v>
      </c>
      <c r="H16" s="36">
        <f t="shared" si="1"/>
        <v>40</v>
      </c>
      <c r="I16" s="36">
        <f t="shared" si="2"/>
        <v>10</v>
      </c>
      <c r="J16" s="36">
        <f t="shared" si="3"/>
        <v>3330</v>
      </c>
      <c r="K16" s="35">
        <f t="shared" si="4"/>
        <v>266.39999999999998</v>
      </c>
      <c r="L16" s="35">
        <f t="shared" si="5"/>
        <v>66.599999999999994</v>
      </c>
      <c r="M16" s="35">
        <f t="shared" si="6"/>
        <v>399.59999999999997</v>
      </c>
      <c r="N16" s="36">
        <f t="shared" si="7"/>
        <v>2597.4</v>
      </c>
      <c r="O16" s="36">
        <f t="shared" si="8"/>
        <v>0</v>
      </c>
      <c r="P16" s="36">
        <f t="shared" si="9"/>
        <v>2597.4</v>
      </c>
    </row>
    <row r="17" spans="1:15">
      <c r="A17" s="1"/>
      <c r="B17" s="2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</sheetData>
  <sortState ref="A2:P23">
    <sortCondition ref="C1"/>
  </sortState>
  <phoneticPr fontId="1" type="noConversion"/>
  <dataValidations count="3">
    <dataValidation type="list" allowBlank="1" showInputMessage="1" showErrorMessage="1" sqref="C1 C12 C6 C9 C3 C4 C5 C7 C8 C10 C11 C13:C14 C15 C16">
      <formula1>"企划部,财务部,销售部,生产部"</formula1>
    </dataValidation>
    <dataValidation type="list" allowBlank="1" showInputMessage="1" showErrorMessage="1" sqref="D2">
      <formula1>"广告策划,部门经理,会计,技术员"</formula1>
    </dataValidation>
    <dataValidation type="list" allowBlank="1" showInputMessage="1" showErrorMessage="1" sqref="C2">
      <formula1>"财务部,企划部"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B1" workbookViewId="0">
      <selection activeCell="D6" sqref="D6"/>
    </sheetView>
  </sheetViews>
  <sheetFormatPr defaultRowHeight="13.5"/>
  <cols>
    <col min="1" max="1" width="18.875" customWidth="1"/>
    <col min="2" max="2" width="13.875" customWidth="1"/>
    <col min="3" max="3" width="14.125" customWidth="1"/>
    <col min="4" max="4" width="14.5" customWidth="1"/>
    <col min="5" max="5" width="13.125" customWidth="1"/>
    <col min="6" max="6" width="10.125" customWidth="1"/>
    <col min="7" max="7" width="13.25" customWidth="1"/>
  </cols>
  <sheetData>
    <row r="1" spans="1:17" s="15" customFormat="1" ht="25.5" customHeight="1">
      <c r="A1" s="58" t="s">
        <v>215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s="15" customFormat="1" ht="25.5" customHeight="1">
      <c r="A2" s="17" t="s">
        <v>214</v>
      </c>
      <c r="B2" s="17" t="s">
        <v>1</v>
      </c>
      <c r="C2" s="17" t="s">
        <v>2</v>
      </c>
      <c r="D2" s="17" t="s">
        <v>5</v>
      </c>
      <c r="E2" s="17" t="s">
        <v>229</v>
      </c>
      <c r="F2" s="17" t="s">
        <v>7</v>
      </c>
      <c r="G2" s="17" t="s">
        <v>58</v>
      </c>
      <c r="H2" s="17" t="s">
        <v>59</v>
      </c>
      <c r="I2" s="17" t="s">
        <v>60</v>
      </c>
      <c r="J2" s="17" t="s">
        <v>62</v>
      </c>
      <c r="K2" s="17" t="s">
        <v>61</v>
      </c>
      <c r="L2" s="35" t="s">
        <v>210</v>
      </c>
      <c r="M2" s="35" t="s">
        <v>211</v>
      </c>
      <c r="N2" s="17" t="s">
        <v>213</v>
      </c>
      <c r="O2" s="36" t="s">
        <v>212</v>
      </c>
      <c r="P2" s="17" t="s">
        <v>63</v>
      </c>
      <c r="Q2" s="17" t="s">
        <v>64</v>
      </c>
    </row>
    <row r="3" spans="1:17" ht="20.25">
      <c r="A3" s="47">
        <f ca="1">NOW()</f>
        <v>43373.719981365743</v>
      </c>
      <c r="B3" s="39" t="s">
        <v>216</v>
      </c>
      <c r="C3" t="str">
        <f>VLOOKUP(B3,工资明细表!A1:P16,2,1)</f>
        <v>王晓东</v>
      </c>
      <c r="D3" t="str">
        <f>VLOOKUP(C3,工资明细表!B1:Q16,2,1)</f>
        <v>销售部</v>
      </c>
      <c r="E3" t="str">
        <f>VLOOKUP(D3,工资明细表!C1:R16,2,1)</f>
        <v>业务员</v>
      </c>
      <c r="G3" t="e">
        <f>VLOOKUP(F4,工资明细表!E1:T16,2,1)</f>
        <v>#N/A</v>
      </c>
      <c r="H3" t="e">
        <f>VLOOKUP(G3,工资明细表!F1:U16,2,1)</f>
        <v>#N/A</v>
      </c>
      <c r="I3" t="e">
        <f>VLOOKUP(H3,工资明细表!G1:V16,2,1)</f>
        <v>#N/A</v>
      </c>
      <c r="J3" t="e">
        <f>VLOOKUP(I3,工资明细表!H1:W16,2,1)</f>
        <v>#N/A</v>
      </c>
      <c r="K3" t="e">
        <f>VLOOKUP(J3,工资明细表!I1:X16,2,1)</f>
        <v>#N/A</v>
      </c>
      <c r="L3" t="e">
        <f>VLOOKUP(K3,工资明细表!J1:Y16,2,1)</f>
        <v>#N/A</v>
      </c>
      <c r="M3" t="e">
        <f>VLOOKUP(L3,工资明细表!K1:Z16,2,1)</f>
        <v>#N/A</v>
      </c>
      <c r="N3" t="e">
        <f>VLOOKUP(M3,工资明细表!L1:AA16,2,1)</f>
        <v>#N/A</v>
      </c>
      <c r="O3" t="e">
        <f>VLOOKUP(N3,工资明细表!M1:AB16,2,1)</f>
        <v>#N/A</v>
      </c>
      <c r="P3" t="e">
        <f>VLOOKUP(O3,工资明细表!N1:AC16,2,1)</f>
        <v>#N/A</v>
      </c>
      <c r="Q3" t="e">
        <f>VLOOKUP(P3,工资明细表!O1:AD16,2,1)</f>
        <v>#N/A</v>
      </c>
    </row>
    <row r="4" spans="1:17">
      <c r="F4">
        <f>VLOOKUP(E3,工资明细表!D1:S16,2,1)</f>
        <v>3000</v>
      </c>
    </row>
  </sheetData>
  <mergeCells count="1">
    <mergeCell ref="A1:Q1"/>
  </mergeCells>
  <phoneticPr fontId="1" type="noConversion"/>
  <dataValidations count="1">
    <dataValidation type="list" allowBlank="1" showInputMessage="1" showErrorMessage="1" sqref="D2">
      <formula1>"企划部,财务部,销售部,生产部"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zoomScaleNormal="100" workbookViewId="0">
      <selection activeCell="C6" sqref="C6"/>
    </sheetView>
  </sheetViews>
  <sheetFormatPr defaultRowHeight="25.5" customHeight="1"/>
  <cols>
    <col min="1" max="1" width="12.875" customWidth="1"/>
    <col min="2" max="2" width="12" customWidth="1"/>
    <col min="3" max="4" width="11.625" customWidth="1"/>
    <col min="5" max="5" width="13.125" customWidth="1"/>
    <col min="6" max="6" width="11.25" customWidth="1"/>
    <col min="8" max="8" width="8.25" customWidth="1"/>
    <col min="9" max="9" width="10.5" customWidth="1"/>
    <col min="10" max="11" width="11.75" customWidth="1"/>
    <col min="12" max="12" width="13" customWidth="1"/>
    <col min="13" max="13" width="8.625" customWidth="1"/>
    <col min="14" max="14" width="11.125" customWidth="1"/>
    <col min="15" max="15" width="10" customWidth="1"/>
  </cols>
  <sheetData>
    <row r="1" spans="1:17" s="8" customFormat="1" ht="23.25" customHeight="1">
      <c r="A1" s="58" t="s">
        <v>215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17" ht="25.5" customHeight="1">
      <c r="A2" s="17" t="s">
        <v>214</v>
      </c>
      <c r="B2" s="17" t="s">
        <v>1</v>
      </c>
      <c r="C2" s="17" t="s">
        <v>2</v>
      </c>
      <c r="D2" s="17" t="s">
        <v>5</v>
      </c>
      <c r="E2" s="17" t="s">
        <v>229</v>
      </c>
      <c r="F2" s="17" t="s">
        <v>7</v>
      </c>
      <c r="G2" s="17" t="s">
        <v>58</v>
      </c>
      <c r="H2" s="17" t="s">
        <v>59</v>
      </c>
      <c r="I2" s="17" t="s">
        <v>60</v>
      </c>
      <c r="J2" s="17" t="s">
        <v>62</v>
      </c>
      <c r="K2" s="17" t="s">
        <v>61</v>
      </c>
      <c r="L2" s="35" t="s">
        <v>210</v>
      </c>
      <c r="M2" s="35" t="s">
        <v>211</v>
      </c>
      <c r="N2" s="17" t="s">
        <v>213</v>
      </c>
      <c r="O2" s="36" t="s">
        <v>212</v>
      </c>
      <c r="P2" s="17" t="s">
        <v>63</v>
      </c>
      <c r="Q2" s="17" t="s">
        <v>64</v>
      </c>
    </row>
    <row r="3" spans="1:17" ht="25.5" customHeight="1">
      <c r="A3" s="38">
        <f ca="1">NOW()</f>
        <v>43373.719981365743</v>
      </c>
      <c r="B3" s="39" t="s">
        <v>216</v>
      </c>
      <c r="C3" s="35" t="str">
        <f>VLOOKUP(B3,工资表,2,1)</f>
        <v>王晓东</v>
      </c>
      <c r="D3" s="35" t="str">
        <f>VLOOKUP(B3,工资表,3,1)</f>
        <v>财务部</v>
      </c>
      <c r="E3" s="35" t="str">
        <f>VLOOKUP(B3,工资表,4,1)</f>
        <v>广告策划</v>
      </c>
      <c r="F3" s="35">
        <f>VLOOKUP(B3,工资表,5,1)</f>
        <v>4000</v>
      </c>
      <c r="G3" s="35">
        <f>VLOOKUP(B3,工资表,6,1)</f>
        <v>200</v>
      </c>
      <c r="H3" s="35">
        <f>VLOOKUP(B3,工资表,7,1)</f>
        <v>100</v>
      </c>
      <c r="I3" s="35">
        <f>VLOOKUP(B3,工资表,8,1)</f>
        <v>80</v>
      </c>
      <c r="J3" s="35">
        <f>VLOOKUP(B3,工资表,9,1)</f>
        <v>67</v>
      </c>
      <c r="K3" s="35">
        <f>VLOOKUP(B3,工资表,10,1)</f>
        <v>4313</v>
      </c>
      <c r="L3" s="35">
        <f>VLOOKUP(B3,工资表,11,1)</f>
        <v>345.04</v>
      </c>
      <c r="M3" s="35">
        <f>VLOOKUP(B3,工资表,12,1)</f>
        <v>86.26</v>
      </c>
      <c r="N3" s="35">
        <f>VLOOKUP(B3,工资表,13,1)</f>
        <v>517.55999999999995</v>
      </c>
      <c r="O3" s="35">
        <f>VLOOKUP(B3,工资表,14,1)</f>
        <v>3364.14</v>
      </c>
      <c r="P3" s="35">
        <f>VLOOKUP(B3,工资表,15,1)</f>
        <v>0</v>
      </c>
      <c r="Q3" s="35">
        <f>VLOOKUP(B3,工资表,16,1)</f>
        <v>3364.14</v>
      </c>
    </row>
    <row r="4" spans="1:17" ht="25.5" customHeight="1">
      <c r="A4" s="58" t="s">
        <v>215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</row>
    <row r="5" spans="1:17" ht="25.5" customHeight="1">
      <c r="A5" s="17" t="s">
        <v>214</v>
      </c>
      <c r="B5" s="17" t="s">
        <v>1</v>
      </c>
      <c r="C5" s="17" t="s">
        <v>2</v>
      </c>
      <c r="D5" s="17" t="s">
        <v>5</v>
      </c>
      <c r="E5" s="17" t="s">
        <v>229</v>
      </c>
      <c r="F5" s="17" t="s">
        <v>7</v>
      </c>
      <c r="G5" s="17" t="s">
        <v>58</v>
      </c>
      <c r="H5" s="17" t="s">
        <v>59</v>
      </c>
      <c r="I5" s="17" t="s">
        <v>60</v>
      </c>
      <c r="J5" s="17" t="s">
        <v>62</v>
      </c>
      <c r="K5" s="17" t="s">
        <v>61</v>
      </c>
      <c r="L5" s="35" t="s">
        <v>210</v>
      </c>
      <c r="M5" s="35" t="s">
        <v>211</v>
      </c>
      <c r="N5" s="17" t="s">
        <v>213</v>
      </c>
      <c r="O5" s="36" t="s">
        <v>212</v>
      </c>
      <c r="P5" s="17" t="s">
        <v>63</v>
      </c>
      <c r="Q5" s="17" t="s">
        <v>64</v>
      </c>
    </row>
    <row r="6" spans="1:17" ht="25.5" customHeight="1">
      <c r="A6" s="38">
        <f t="shared" ref="A6" ca="1" si="0">NOW()</f>
        <v>43373.719981365743</v>
      </c>
      <c r="B6" s="39" t="s">
        <v>17</v>
      </c>
      <c r="C6" s="35" t="str">
        <f>VLOOKUP(B6,工资表,2,1)</f>
        <v>王晓东</v>
      </c>
      <c r="D6" s="35" t="str">
        <f>VLOOKUP(B6,工资表,3,1)</f>
        <v>财务部</v>
      </c>
      <c r="E6" s="35" t="str">
        <f>VLOOKUP(B6,工资表,4,1)</f>
        <v>广告策划</v>
      </c>
      <c r="F6" s="35">
        <f>VLOOKUP(B6,工资表,5,1)</f>
        <v>4000</v>
      </c>
      <c r="G6" s="35">
        <f>VLOOKUP(B6,工资表,6,1)</f>
        <v>200</v>
      </c>
      <c r="H6" s="35">
        <f>VLOOKUP(B6,工资表,7,1)</f>
        <v>100</v>
      </c>
      <c r="I6" s="35">
        <f>VLOOKUP(B6,工资表,8,1)</f>
        <v>80</v>
      </c>
      <c r="J6" s="35">
        <f>VLOOKUP(B6,工资表,9,1)</f>
        <v>67</v>
      </c>
      <c r="K6" s="35">
        <f>VLOOKUP(B6,工资表,10,1)</f>
        <v>4313</v>
      </c>
      <c r="L6" s="35">
        <f>VLOOKUP(B6,工资表,11,1)</f>
        <v>345.04</v>
      </c>
      <c r="M6" s="35">
        <f>VLOOKUP(B6,工资表,12,1)</f>
        <v>86.26</v>
      </c>
      <c r="N6" s="35">
        <f>VLOOKUP(B6,工资表,13,1)</f>
        <v>517.55999999999995</v>
      </c>
      <c r="O6" s="35">
        <f>VLOOKUP(B6,工资表,14,1)</f>
        <v>3364.14</v>
      </c>
      <c r="P6" s="35">
        <f>VLOOKUP(B6,工资表,15,1)</f>
        <v>0</v>
      </c>
      <c r="Q6" s="35">
        <f>VLOOKUP(B6,工资表,16,1)</f>
        <v>3364.14</v>
      </c>
    </row>
    <row r="7" spans="1:17" ht="25.5" customHeight="1">
      <c r="A7" s="58" t="s">
        <v>215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</row>
    <row r="8" spans="1:17" ht="25.5" customHeight="1">
      <c r="A8" s="17" t="s">
        <v>214</v>
      </c>
      <c r="B8" s="17" t="s">
        <v>1</v>
      </c>
      <c r="C8" s="17" t="s">
        <v>2</v>
      </c>
      <c r="D8" s="17" t="s">
        <v>5</v>
      </c>
      <c r="E8" s="17" t="s">
        <v>229</v>
      </c>
      <c r="F8" s="17" t="s">
        <v>7</v>
      </c>
      <c r="G8" s="17" t="s">
        <v>58</v>
      </c>
      <c r="H8" s="17" t="s">
        <v>59</v>
      </c>
      <c r="I8" s="17" t="s">
        <v>60</v>
      </c>
      <c r="J8" s="17" t="s">
        <v>62</v>
      </c>
      <c r="K8" s="17" t="s">
        <v>61</v>
      </c>
      <c r="L8" s="35" t="s">
        <v>210</v>
      </c>
      <c r="M8" s="35" t="s">
        <v>211</v>
      </c>
      <c r="N8" s="17" t="s">
        <v>213</v>
      </c>
      <c r="O8" s="36" t="s">
        <v>212</v>
      </c>
      <c r="P8" s="17" t="s">
        <v>63</v>
      </c>
      <c r="Q8" s="17" t="s">
        <v>64</v>
      </c>
    </row>
    <row r="9" spans="1:17" ht="25.5" customHeight="1">
      <c r="A9" s="38">
        <f t="shared" ref="A9" ca="1" si="1">NOW()</f>
        <v>43373.719981365743</v>
      </c>
      <c r="B9" s="39" t="s">
        <v>8</v>
      </c>
      <c r="C9" s="35" t="str">
        <f>VLOOKUP(B9,工资表,2,1)</f>
        <v>李芳</v>
      </c>
      <c r="D9" s="35" t="str">
        <f>VLOOKUP(B9,工资表,3,1)</f>
        <v>财务部</v>
      </c>
      <c r="E9" s="35" t="str">
        <f>VLOOKUP(B9,工资表,4,1)</f>
        <v>部门经理</v>
      </c>
      <c r="F9" s="35">
        <f>VLOOKUP(B9,工资表,5,1)</f>
        <v>5000</v>
      </c>
      <c r="G9" s="35">
        <f>VLOOKUP(B9,工资表,6,1)</f>
        <v>200</v>
      </c>
      <c r="H9" s="35">
        <f>VLOOKUP(B9,工资表,7,1)</f>
        <v>150</v>
      </c>
      <c r="I9" s="35">
        <f>VLOOKUP(B9,工资表,8,1)</f>
        <v>80</v>
      </c>
      <c r="J9" s="35">
        <f>VLOOKUP(B9,工资表,9,1)</f>
        <v>63</v>
      </c>
      <c r="K9" s="35">
        <f>VLOOKUP(B9,工资表,10,1)</f>
        <v>5367</v>
      </c>
      <c r="L9" s="35">
        <f>VLOOKUP(B9,工资表,11,1)</f>
        <v>429.36</v>
      </c>
      <c r="M9" s="35">
        <f>VLOOKUP(B9,工资表,12,1)</f>
        <v>107.34</v>
      </c>
      <c r="N9" s="35">
        <f>VLOOKUP(B9,工资表,13,1)</f>
        <v>644.04</v>
      </c>
      <c r="O9" s="35">
        <f>VLOOKUP(B9,工资表,14,1)</f>
        <v>4186.26</v>
      </c>
      <c r="P9" s="35">
        <f>VLOOKUP(B9,工资表,15,1)</f>
        <v>20.587800000000005</v>
      </c>
      <c r="Q9" s="35">
        <f>VLOOKUP(B9,工资表,16,1)</f>
        <v>4165.6722</v>
      </c>
    </row>
    <row r="10" spans="1:17" ht="25.5" customHeight="1">
      <c r="A10" s="58" t="s">
        <v>215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</row>
    <row r="11" spans="1:17" ht="25.5" customHeight="1">
      <c r="A11" s="17" t="s">
        <v>214</v>
      </c>
      <c r="B11" s="17" t="s">
        <v>1</v>
      </c>
      <c r="C11" s="17" t="s">
        <v>2</v>
      </c>
      <c r="D11" s="17" t="s">
        <v>5</v>
      </c>
      <c r="E11" s="17" t="s">
        <v>229</v>
      </c>
      <c r="F11" s="17" t="s">
        <v>7</v>
      </c>
      <c r="G11" s="17" t="s">
        <v>58</v>
      </c>
      <c r="H11" s="17" t="s">
        <v>59</v>
      </c>
      <c r="I11" s="17" t="s">
        <v>60</v>
      </c>
      <c r="J11" s="17" t="s">
        <v>62</v>
      </c>
      <c r="K11" s="17" t="s">
        <v>61</v>
      </c>
      <c r="L11" s="35" t="s">
        <v>210</v>
      </c>
      <c r="M11" s="35" t="s">
        <v>211</v>
      </c>
      <c r="N11" s="17" t="s">
        <v>213</v>
      </c>
      <c r="O11" s="36" t="s">
        <v>212</v>
      </c>
      <c r="P11" s="17" t="s">
        <v>63</v>
      </c>
      <c r="Q11" s="17" t="s">
        <v>64</v>
      </c>
    </row>
    <row r="12" spans="1:17" ht="25.5" customHeight="1">
      <c r="A12" s="38">
        <f t="shared" ref="A12" ca="1" si="2">NOW()</f>
        <v>43373.719981365743</v>
      </c>
      <c r="B12" s="39" t="s">
        <v>24</v>
      </c>
      <c r="C12" s="35" t="str">
        <f>VLOOKUP(B12,工资表,2,1)</f>
        <v>李芳</v>
      </c>
      <c r="D12" s="35" t="str">
        <f>VLOOKUP(B12,工资表,3,1)</f>
        <v>财务部</v>
      </c>
      <c r="E12" s="35" t="str">
        <f>VLOOKUP(B12,工资表,4,1)</f>
        <v>部门经理</v>
      </c>
      <c r="F12" s="35">
        <f>VLOOKUP(B12,工资表,5,1)</f>
        <v>5000</v>
      </c>
      <c r="G12" s="35">
        <f>VLOOKUP(B12,工资表,6,1)</f>
        <v>200</v>
      </c>
      <c r="H12" s="35">
        <f>VLOOKUP(B12,工资表,7,1)</f>
        <v>150</v>
      </c>
      <c r="I12" s="35">
        <f>VLOOKUP(B12,工资表,8,1)</f>
        <v>80</v>
      </c>
      <c r="J12" s="35">
        <f>VLOOKUP(B12,工资表,9,1)</f>
        <v>63</v>
      </c>
      <c r="K12" s="35">
        <f>VLOOKUP(B12,工资表,10,1)</f>
        <v>5367</v>
      </c>
      <c r="L12" s="35">
        <f>VLOOKUP(B12,工资表,11,1)</f>
        <v>429.36</v>
      </c>
      <c r="M12" s="35">
        <f>VLOOKUP(B12,工资表,12,1)</f>
        <v>107.34</v>
      </c>
      <c r="N12" s="35">
        <f>VLOOKUP(B12,工资表,13,1)</f>
        <v>644.04</v>
      </c>
      <c r="O12" s="35">
        <f>VLOOKUP(B12,工资表,14,1)</f>
        <v>4186.26</v>
      </c>
      <c r="P12" s="35">
        <f>VLOOKUP(B12,工资表,15,1)</f>
        <v>20.587800000000005</v>
      </c>
      <c r="Q12" s="35">
        <f>VLOOKUP(B12,工资表,16,1)</f>
        <v>4165.6722</v>
      </c>
    </row>
    <row r="13" spans="1:17" ht="25.5" customHeight="1">
      <c r="A13" s="58" t="s">
        <v>215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</row>
    <row r="14" spans="1:17" ht="25.5" customHeight="1">
      <c r="A14" s="17" t="s">
        <v>214</v>
      </c>
      <c r="B14" s="17" t="s">
        <v>1</v>
      </c>
      <c r="C14" s="17" t="s">
        <v>2</v>
      </c>
      <c r="D14" s="17" t="s">
        <v>5</v>
      </c>
      <c r="E14" s="17" t="s">
        <v>229</v>
      </c>
      <c r="F14" s="17" t="s">
        <v>7</v>
      </c>
      <c r="G14" s="17" t="s">
        <v>58</v>
      </c>
      <c r="H14" s="17" t="s">
        <v>59</v>
      </c>
      <c r="I14" s="17" t="s">
        <v>60</v>
      </c>
      <c r="J14" s="17" t="s">
        <v>62</v>
      </c>
      <c r="K14" s="17" t="s">
        <v>61</v>
      </c>
      <c r="L14" s="35" t="s">
        <v>210</v>
      </c>
      <c r="M14" s="35" t="s">
        <v>211</v>
      </c>
      <c r="N14" s="17" t="s">
        <v>213</v>
      </c>
      <c r="O14" s="36" t="s">
        <v>212</v>
      </c>
      <c r="P14" s="17" t="s">
        <v>63</v>
      </c>
      <c r="Q14" s="17" t="s">
        <v>64</v>
      </c>
    </row>
    <row r="15" spans="1:17" ht="25.5" customHeight="1">
      <c r="A15" s="38">
        <f t="shared" ref="A15" ca="1" si="3">NOW()</f>
        <v>43373.719981365743</v>
      </c>
      <c r="B15" s="39" t="s">
        <v>20</v>
      </c>
      <c r="C15" s="35" t="str">
        <f>VLOOKUP(B15,工资表,2,1)</f>
        <v>李芳</v>
      </c>
      <c r="D15" s="35" t="str">
        <f>VLOOKUP(B15,工资表,3,1)</f>
        <v>财务部</v>
      </c>
      <c r="E15" s="35" t="str">
        <f>VLOOKUP(B15,工资表,4,1)</f>
        <v>部门经理</v>
      </c>
      <c r="F15" s="35">
        <f>VLOOKUP(B15,工资表,5,1)</f>
        <v>5000</v>
      </c>
      <c r="G15" s="35">
        <f>VLOOKUP(B15,工资表,6,1)</f>
        <v>200</v>
      </c>
      <c r="H15" s="35">
        <f>VLOOKUP(B15,工资表,7,1)</f>
        <v>150</v>
      </c>
      <c r="I15" s="35">
        <f>VLOOKUP(B15,工资表,8,1)</f>
        <v>80</v>
      </c>
      <c r="J15" s="35">
        <f>VLOOKUP(B15,工资表,9,1)</f>
        <v>63</v>
      </c>
      <c r="K15" s="35">
        <f>VLOOKUP(B15,工资表,10,1)</f>
        <v>5367</v>
      </c>
      <c r="L15" s="35">
        <f>VLOOKUP(B15,工资表,11,1)</f>
        <v>429.36</v>
      </c>
      <c r="M15" s="35">
        <f>VLOOKUP(B15,工资表,12,1)</f>
        <v>107.34</v>
      </c>
      <c r="N15" s="35">
        <f>VLOOKUP(B15,工资表,13,1)</f>
        <v>644.04</v>
      </c>
      <c r="O15" s="35">
        <f>VLOOKUP(B15,工资表,14,1)</f>
        <v>4186.26</v>
      </c>
      <c r="P15" s="35">
        <f>VLOOKUP(B15,工资表,15,1)</f>
        <v>20.587800000000005</v>
      </c>
      <c r="Q15" s="35">
        <f>VLOOKUP(B15,工资表,16,1)</f>
        <v>4165.6722</v>
      </c>
    </row>
    <row r="16" spans="1:17" ht="25.5" customHeight="1">
      <c r="A16" s="58" t="s">
        <v>215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25.5" customHeight="1">
      <c r="A17" s="17" t="s">
        <v>214</v>
      </c>
      <c r="B17" s="17" t="s">
        <v>1</v>
      </c>
      <c r="C17" s="17" t="s">
        <v>2</v>
      </c>
      <c r="D17" s="17" t="s">
        <v>5</v>
      </c>
      <c r="E17" s="17" t="s">
        <v>229</v>
      </c>
      <c r="F17" s="17" t="s">
        <v>7</v>
      </c>
      <c r="G17" s="17" t="s">
        <v>58</v>
      </c>
      <c r="H17" s="17" t="s">
        <v>59</v>
      </c>
      <c r="I17" s="17" t="s">
        <v>60</v>
      </c>
      <c r="J17" s="17" t="s">
        <v>62</v>
      </c>
      <c r="K17" s="17" t="s">
        <v>61</v>
      </c>
      <c r="L17" s="35" t="s">
        <v>210</v>
      </c>
      <c r="M17" s="35" t="s">
        <v>211</v>
      </c>
      <c r="N17" s="17" t="s">
        <v>213</v>
      </c>
      <c r="O17" s="36" t="s">
        <v>212</v>
      </c>
      <c r="P17" s="17" t="s">
        <v>63</v>
      </c>
      <c r="Q17" s="17" t="s">
        <v>64</v>
      </c>
    </row>
    <row r="18" spans="1:17" ht="25.5" customHeight="1">
      <c r="A18" s="38">
        <f t="shared" ref="A18" ca="1" si="4">NOW()</f>
        <v>43373.719981365743</v>
      </c>
      <c r="B18" s="39" t="s">
        <v>13</v>
      </c>
      <c r="C18" s="35" t="str">
        <f>VLOOKUP(B18,工资表,2,1)</f>
        <v>邹燕燕</v>
      </c>
      <c r="D18" s="35" t="str">
        <f>VLOOKUP(B18,工资表,3,1)</f>
        <v>财务部</v>
      </c>
      <c r="E18" s="35" t="str">
        <f>VLOOKUP(B18,工资表,4,1)</f>
        <v>会计</v>
      </c>
      <c r="F18" s="35">
        <f>VLOOKUP(B18,工资表,5,1)</f>
        <v>3800</v>
      </c>
      <c r="G18" s="35">
        <f>VLOOKUP(B18,工资表,6,1)</f>
        <v>200</v>
      </c>
      <c r="H18" s="35">
        <f>VLOOKUP(B18,工资表,7,1)</f>
        <v>150</v>
      </c>
      <c r="I18" s="35">
        <f>VLOOKUP(B18,工资表,8,1)</f>
        <v>80</v>
      </c>
      <c r="J18" s="35">
        <f>VLOOKUP(B18,工资表,9,1)</f>
        <v>133</v>
      </c>
      <c r="K18" s="35">
        <f>VLOOKUP(B18,工资表,10,1)</f>
        <v>4097</v>
      </c>
      <c r="L18" s="35">
        <f>VLOOKUP(B18,工资表,11,1)</f>
        <v>327.76</v>
      </c>
      <c r="M18" s="35">
        <f>VLOOKUP(B18,工资表,12,1)</f>
        <v>81.94</v>
      </c>
      <c r="N18" s="35">
        <f>VLOOKUP(B18,工资表,13,1)</f>
        <v>491.64</v>
      </c>
      <c r="O18" s="35">
        <f>VLOOKUP(B18,工资表,14,1)</f>
        <v>3195.66</v>
      </c>
      <c r="P18" s="35">
        <f>VLOOKUP(B18,工资表,15,1)</f>
        <v>0</v>
      </c>
      <c r="Q18" s="35">
        <f>VLOOKUP(B18,工资表,16,1)</f>
        <v>3195.66</v>
      </c>
    </row>
    <row r="19" spans="1:17" ht="25.5" customHeight="1">
      <c r="A19" s="58" t="s">
        <v>215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</row>
    <row r="20" spans="1:17" ht="25.5" customHeight="1">
      <c r="A20" s="17" t="s">
        <v>214</v>
      </c>
      <c r="B20" s="17" t="s">
        <v>1</v>
      </c>
      <c r="C20" s="17" t="s">
        <v>2</v>
      </c>
      <c r="D20" s="17" t="s">
        <v>5</v>
      </c>
      <c r="E20" s="17" t="s">
        <v>229</v>
      </c>
      <c r="F20" s="17" t="s">
        <v>7</v>
      </c>
      <c r="G20" s="17" t="s">
        <v>58</v>
      </c>
      <c r="H20" s="17" t="s">
        <v>59</v>
      </c>
      <c r="I20" s="17" t="s">
        <v>60</v>
      </c>
      <c r="J20" s="17" t="s">
        <v>62</v>
      </c>
      <c r="K20" s="17" t="s">
        <v>61</v>
      </c>
      <c r="L20" s="35" t="s">
        <v>210</v>
      </c>
      <c r="M20" s="35" t="s">
        <v>211</v>
      </c>
      <c r="N20" s="17" t="s">
        <v>213</v>
      </c>
      <c r="O20" s="36" t="s">
        <v>212</v>
      </c>
      <c r="P20" s="17" t="s">
        <v>63</v>
      </c>
      <c r="Q20" s="17" t="s">
        <v>64</v>
      </c>
    </row>
    <row r="21" spans="1:17" ht="25.5" customHeight="1">
      <c r="A21" s="38">
        <f t="shared" ref="A21" ca="1" si="5">NOW()</f>
        <v>43373.719981365743</v>
      </c>
      <c r="B21" s="39" t="s">
        <v>22</v>
      </c>
      <c r="C21" s="35" t="str">
        <f>VLOOKUP(B21,工资表,2,1)</f>
        <v>邹燕燕</v>
      </c>
      <c r="D21" s="35" t="str">
        <f>VLOOKUP(B21,工资表,3,1)</f>
        <v>财务部</v>
      </c>
      <c r="E21" s="35" t="str">
        <f>VLOOKUP(B21,工资表,4,1)</f>
        <v>会计</v>
      </c>
      <c r="F21" s="35">
        <f>VLOOKUP(B21,工资表,5,1)</f>
        <v>3800</v>
      </c>
      <c r="G21" s="35">
        <f>VLOOKUP(B21,工资表,6,1)</f>
        <v>200</v>
      </c>
      <c r="H21" s="35">
        <f>VLOOKUP(B21,工资表,7,1)</f>
        <v>150</v>
      </c>
      <c r="I21" s="35">
        <f>VLOOKUP(B21,工资表,8,1)</f>
        <v>80</v>
      </c>
      <c r="J21" s="35">
        <f>VLOOKUP(B21,工资表,9,1)</f>
        <v>133</v>
      </c>
      <c r="K21" s="35">
        <f>VLOOKUP(B21,工资表,10,1)</f>
        <v>4097</v>
      </c>
      <c r="L21" s="35">
        <f>VLOOKUP(B21,工资表,11,1)</f>
        <v>327.76</v>
      </c>
      <c r="M21" s="35">
        <f>VLOOKUP(B21,工资表,12,1)</f>
        <v>81.94</v>
      </c>
      <c r="N21" s="35">
        <f>VLOOKUP(B21,工资表,13,1)</f>
        <v>491.64</v>
      </c>
      <c r="O21" s="35">
        <f>VLOOKUP(B21,工资表,14,1)</f>
        <v>3195.66</v>
      </c>
      <c r="P21" s="35">
        <f>VLOOKUP(B21,工资表,15,1)</f>
        <v>0</v>
      </c>
      <c r="Q21" s="35">
        <f>VLOOKUP(B21,工资表,16,1)</f>
        <v>3195.66</v>
      </c>
    </row>
    <row r="22" spans="1:17" ht="25.5" customHeight="1">
      <c r="A22" s="58" t="s">
        <v>215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17" ht="25.5" customHeight="1">
      <c r="A23" s="17" t="s">
        <v>214</v>
      </c>
      <c r="B23" s="17" t="s">
        <v>1</v>
      </c>
      <c r="C23" s="17" t="s">
        <v>2</v>
      </c>
      <c r="D23" s="17" t="s">
        <v>5</v>
      </c>
      <c r="E23" s="17" t="s">
        <v>229</v>
      </c>
      <c r="F23" s="17" t="s">
        <v>7</v>
      </c>
      <c r="G23" s="17" t="s">
        <v>58</v>
      </c>
      <c r="H23" s="17" t="s">
        <v>59</v>
      </c>
      <c r="I23" s="17" t="s">
        <v>60</v>
      </c>
      <c r="J23" s="17" t="s">
        <v>62</v>
      </c>
      <c r="K23" s="17" t="s">
        <v>61</v>
      </c>
      <c r="L23" s="35" t="s">
        <v>210</v>
      </c>
      <c r="M23" s="35" t="s">
        <v>211</v>
      </c>
      <c r="N23" s="17" t="s">
        <v>213</v>
      </c>
      <c r="O23" s="36" t="s">
        <v>212</v>
      </c>
      <c r="P23" s="17" t="s">
        <v>63</v>
      </c>
      <c r="Q23" s="17" t="s">
        <v>64</v>
      </c>
    </row>
    <row r="24" spans="1:17" ht="25.5" customHeight="1">
      <c r="A24" s="38">
        <f t="shared" ref="A24" ca="1" si="6">NOW()</f>
        <v>43373.719981365743</v>
      </c>
      <c r="B24" s="39" t="s">
        <v>26</v>
      </c>
      <c r="C24" s="35" t="str">
        <f>VLOOKUP(B24,工资表,2,1)</f>
        <v>邹燕燕</v>
      </c>
      <c r="D24" s="35" t="str">
        <f>VLOOKUP(B24,工资表,3,1)</f>
        <v>财务部</v>
      </c>
      <c r="E24" s="35" t="str">
        <f>VLOOKUP(B24,工资表,4,1)</f>
        <v>会计</v>
      </c>
      <c r="F24" s="35">
        <f>VLOOKUP(B24,工资表,5,1)</f>
        <v>3800</v>
      </c>
      <c r="G24" s="35">
        <f>VLOOKUP(B24,工资表,6,1)</f>
        <v>200</v>
      </c>
      <c r="H24" s="35">
        <f>VLOOKUP(B24,工资表,7,1)</f>
        <v>150</v>
      </c>
      <c r="I24" s="35">
        <f>VLOOKUP(B24,工资表,8,1)</f>
        <v>80</v>
      </c>
      <c r="J24" s="35">
        <f>VLOOKUP(B24,工资表,9,1)</f>
        <v>133</v>
      </c>
      <c r="K24" s="35">
        <f>VLOOKUP(B24,工资表,10,1)</f>
        <v>4097</v>
      </c>
      <c r="L24" s="35">
        <f>VLOOKUP(B24,工资表,11,1)</f>
        <v>327.76</v>
      </c>
      <c r="M24" s="35">
        <f>VLOOKUP(B24,工资表,12,1)</f>
        <v>81.94</v>
      </c>
      <c r="N24" s="35">
        <f>VLOOKUP(B24,工资表,13,1)</f>
        <v>491.64</v>
      </c>
      <c r="O24" s="35">
        <f>VLOOKUP(B24,工资表,14,1)</f>
        <v>3195.66</v>
      </c>
      <c r="P24" s="35">
        <f>VLOOKUP(B24,工资表,15,1)</f>
        <v>0</v>
      </c>
      <c r="Q24" s="35">
        <f>VLOOKUP(B24,工资表,16,1)</f>
        <v>3195.66</v>
      </c>
    </row>
    <row r="25" spans="1:17" ht="25.5" customHeight="1">
      <c r="A25" s="58" t="s">
        <v>215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ht="25.5" customHeight="1">
      <c r="A26" s="17" t="s">
        <v>214</v>
      </c>
      <c r="B26" s="17" t="s">
        <v>1</v>
      </c>
      <c r="C26" s="17" t="s">
        <v>2</v>
      </c>
      <c r="D26" s="17" t="s">
        <v>5</v>
      </c>
      <c r="E26" s="17" t="s">
        <v>229</v>
      </c>
      <c r="F26" s="17" t="s">
        <v>7</v>
      </c>
      <c r="G26" s="17" t="s">
        <v>58</v>
      </c>
      <c r="H26" s="17" t="s">
        <v>59</v>
      </c>
      <c r="I26" s="17" t="s">
        <v>60</v>
      </c>
      <c r="J26" s="17" t="s">
        <v>62</v>
      </c>
      <c r="K26" s="17" t="s">
        <v>61</v>
      </c>
      <c r="L26" s="35" t="s">
        <v>210</v>
      </c>
      <c r="M26" s="35" t="s">
        <v>211</v>
      </c>
      <c r="N26" s="17" t="s">
        <v>213</v>
      </c>
      <c r="O26" s="36" t="s">
        <v>212</v>
      </c>
      <c r="P26" s="17" t="s">
        <v>63</v>
      </c>
      <c r="Q26" s="17" t="s">
        <v>64</v>
      </c>
    </row>
    <row r="27" spans="1:17" ht="25.5" customHeight="1">
      <c r="A27" s="38">
        <f t="shared" ref="A27" ca="1" si="7">NOW()</f>
        <v>43373.719981365743</v>
      </c>
      <c r="B27" s="39" t="s">
        <v>14</v>
      </c>
      <c r="C27" s="35" t="str">
        <f>VLOOKUP(B27,工资表,2,1)</f>
        <v>邱秀丽</v>
      </c>
      <c r="D27" s="35" t="str">
        <f>VLOOKUP(B27,工资表,3,1)</f>
        <v>财务部</v>
      </c>
      <c r="E27" s="35" t="str">
        <f>VLOOKUP(B27,工资表,4,1)</f>
        <v>预算员</v>
      </c>
      <c r="F27" s="35">
        <f>VLOOKUP(B27,工资表,5,1)</f>
        <v>5000</v>
      </c>
      <c r="G27" s="35">
        <f>VLOOKUP(B27,工资表,6,1)</f>
        <v>200</v>
      </c>
      <c r="H27" s="35">
        <f>VLOOKUP(B27,工资表,7,1)</f>
        <v>120</v>
      </c>
      <c r="I27" s="35">
        <f>VLOOKUP(B27,工资表,8,1)</f>
        <v>40</v>
      </c>
      <c r="J27" s="35">
        <f>VLOOKUP(B27,工资表,9,1)</f>
        <v>0</v>
      </c>
      <c r="K27" s="35">
        <f>VLOOKUP(B27,工资表,10,1)</f>
        <v>5360</v>
      </c>
      <c r="L27" s="35">
        <f>VLOOKUP(B27,工资表,11,1)</f>
        <v>428.8</v>
      </c>
      <c r="M27" s="35">
        <f>VLOOKUP(B27,工资表,12,1)</f>
        <v>107.2</v>
      </c>
      <c r="N27" s="35">
        <f>VLOOKUP(B27,工资表,13,1)</f>
        <v>643.19999999999993</v>
      </c>
      <c r="O27" s="35">
        <f>VLOOKUP(B27,工资表,14,1)</f>
        <v>4180.8</v>
      </c>
      <c r="P27" s="35">
        <f>VLOOKUP(B27,工资表,15,1)</f>
        <v>20.424000000000003</v>
      </c>
      <c r="Q27" s="35">
        <f>VLOOKUP(B27,工资表,16,1)</f>
        <v>4160.3760000000002</v>
      </c>
    </row>
    <row r="28" spans="1:17" ht="25.5" customHeight="1">
      <c r="A28" s="58" t="s">
        <v>215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</row>
    <row r="29" spans="1:17" ht="25.5" customHeight="1">
      <c r="A29" s="17" t="s">
        <v>214</v>
      </c>
      <c r="B29" s="17" t="s">
        <v>1</v>
      </c>
      <c r="C29" s="17" t="s">
        <v>2</v>
      </c>
      <c r="D29" s="17" t="s">
        <v>5</v>
      </c>
      <c r="E29" s="17" t="s">
        <v>229</v>
      </c>
      <c r="F29" s="17" t="s">
        <v>7</v>
      </c>
      <c r="G29" s="17" t="s">
        <v>58</v>
      </c>
      <c r="H29" s="17" t="s">
        <v>59</v>
      </c>
      <c r="I29" s="17" t="s">
        <v>60</v>
      </c>
      <c r="J29" s="17" t="s">
        <v>62</v>
      </c>
      <c r="K29" s="17" t="s">
        <v>61</v>
      </c>
      <c r="L29" s="35" t="s">
        <v>210</v>
      </c>
      <c r="M29" s="35" t="s">
        <v>211</v>
      </c>
      <c r="N29" s="17" t="s">
        <v>213</v>
      </c>
      <c r="O29" s="36" t="s">
        <v>212</v>
      </c>
      <c r="P29" s="17" t="s">
        <v>63</v>
      </c>
      <c r="Q29" s="17" t="s">
        <v>64</v>
      </c>
    </row>
    <row r="30" spans="1:17" ht="25.5" customHeight="1">
      <c r="A30" s="38">
        <f t="shared" ref="A30" ca="1" si="8">NOW()</f>
        <v>43373.719981365743</v>
      </c>
      <c r="B30" s="39" t="s">
        <v>15</v>
      </c>
      <c r="C30" s="35" t="str">
        <f>VLOOKUP(B30,工资表,2,1)</f>
        <v>马一鸣</v>
      </c>
      <c r="D30" s="35" t="str">
        <f>VLOOKUP(B30,工资表,3,1)</f>
        <v>企划部</v>
      </c>
      <c r="E30" s="35" t="str">
        <f>VLOOKUP(B30,工资表,4,1)</f>
        <v>广告策划</v>
      </c>
      <c r="F30" s="35">
        <f>VLOOKUP(B30,工资表,5,1)</f>
        <v>4000</v>
      </c>
      <c r="G30" s="35">
        <f>VLOOKUP(B30,工资表,6,1)</f>
        <v>200</v>
      </c>
      <c r="H30" s="35">
        <f>VLOOKUP(B30,工资表,7,1)</f>
        <v>120</v>
      </c>
      <c r="I30" s="35">
        <f>VLOOKUP(B30,工资表,8,1)</f>
        <v>40</v>
      </c>
      <c r="J30" s="35">
        <f>VLOOKUP(B30,工资表,9,1)</f>
        <v>0</v>
      </c>
      <c r="K30" s="35">
        <f>VLOOKUP(B30,工资表,10,1)</f>
        <v>4360</v>
      </c>
      <c r="L30" s="35">
        <f>VLOOKUP(B30,工资表,11,1)</f>
        <v>348.8</v>
      </c>
      <c r="M30" s="35">
        <f>VLOOKUP(B30,工资表,12,1)</f>
        <v>87.2</v>
      </c>
      <c r="N30" s="35">
        <f>VLOOKUP(B30,工资表,13,1)</f>
        <v>523.19999999999993</v>
      </c>
      <c r="O30" s="35">
        <f>VLOOKUP(B30,工资表,14,1)</f>
        <v>3400.8</v>
      </c>
      <c r="P30" s="35">
        <f>VLOOKUP(B30,工资表,15,1)</f>
        <v>0</v>
      </c>
      <c r="Q30" s="35">
        <f>VLOOKUP(B30,工资表,16,1)</f>
        <v>3400.8</v>
      </c>
    </row>
    <row r="31" spans="1:17" ht="25.5" customHeight="1">
      <c r="A31" s="58" t="s">
        <v>215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</row>
    <row r="32" spans="1:17" ht="25.5" customHeight="1">
      <c r="A32" s="17" t="s">
        <v>214</v>
      </c>
      <c r="B32" s="17" t="s">
        <v>1</v>
      </c>
      <c r="C32" s="17" t="s">
        <v>2</v>
      </c>
      <c r="D32" s="17" t="s">
        <v>5</v>
      </c>
      <c r="E32" s="17" t="s">
        <v>229</v>
      </c>
      <c r="F32" s="17" t="s">
        <v>7</v>
      </c>
      <c r="G32" s="17" t="s">
        <v>58</v>
      </c>
      <c r="H32" s="17" t="s">
        <v>59</v>
      </c>
      <c r="I32" s="17" t="s">
        <v>60</v>
      </c>
      <c r="J32" s="17" t="s">
        <v>62</v>
      </c>
      <c r="K32" s="17" t="s">
        <v>61</v>
      </c>
      <c r="L32" s="35" t="s">
        <v>210</v>
      </c>
      <c r="M32" s="35" t="s">
        <v>211</v>
      </c>
      <c r="N32" s="17" t="s">
        <v>213</v>
      </c>
      <c r="O32" s="36" t="s">
        <v>212</v>
      </c>
      <c r="P32" s="17" t="s">
        <v>63</v>
      </c>
      <c r="Q32" s="17" t="s">
        <v>64</v>
      </c>
    </row>
    <row r="33" spans="1:17" ht="25.5" customHeight="1">
      <c r="A33" s="38">
        <f t="shared" ref="A33" ca="1" si="9">NOW()</f>
        <v>43373.719981365743</v>
      </c>
      <c r="B33" s="39" t="s">
        <v>18</v>
      </c>
      <c r="C33" s="35" t="str">
        <f>VLOOKUP(B33,工资表,2,1)</f>
        <v>宋辉</v>
      </c>
      <c r="D33" s="35" t="str">
        <f>VLOOKUP(B33,工资表,3,1)</f>
        <v>企划部</v>
      </c>
      <c r="E33" s="35" t="str">
        <f>VLOOKUP(B33,工资表,4,1)</f>
        <v>部门经理</v>
      </c>
      <c r="F33" s="35">
        <f>VLOOKUP(B33,工资表,5,1)</f>
        <v>3500</v>
      </c>
      <c r="G33" s="35">
        <f>VLOOKUP(B33,工资表,6,1)</f>
        <v>200</v>
      </c>
      <c r="H33" s="35">
        <f>VLOOKUP(B33,工资表,7,1)</f>
        <v>100</v>
      </c>
      <c r="I33" s="35">
        <f>VLOOKUP(B33,工资表,8,1)</f>
        <v>80</v>
      </c>
      <c r="J33" s="35">
        <f>VLOOKUP(B33,工资表,9,1)</f>
        <v>100</v>
      </c>
      <c r="K33" s="35">
        <f>VLOOKUP(B33,工资表,10,1)</f>
        <v>3780</v>
      </c>
      <c r="L33" s="35">
        <f>VLOOKUP(B33,工资表,11,1)</f>
        <v>302.40000000000003</v>
      </c>
      <c r="M33" s="35">
        <f>VLOOKUP(B33,工资表,12,1)</f>
        <v>75.600000000000009</v>
      </c>
      <c r="N33" s="35">
        <f>VLOOKUP(B33,工资表,13,1)</f>
        <v>453.59999999999997</v>
      </c>
      <c r="O33" s="35">
        <f>VLOOKUP(B33,工资表,14,1)</f>
        <v>2948.4</v>
      </c>
      <c r="P33" s="35">
        <f>VLOOKUP(B33,工资表,15,1)</f>
        <v>0</v>
      </c>
      <c r="Q33" s="35">
        <f>VLOOKUP(B33,工资表,16,1)</f>
        <v>2948.4</v>
      </c>
    </row>
    <row r="34" spans="1:17" ht="25.5" customHeight="1">
      <c r="A34" s="58" t="s">
        <v>215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</row>
    <row r="35" spans="1:17" ht="25.5" customHeight="1">
      <c r="A35" s="17" t="s">
        <v>214</v>
      </c>
      <c r="B35" s="17" t="s">
        <v>1</v>
      </c>
      <c r="C35" s="17" t="s">
        <v>2</v>
      </c>
      <c r="D35" s="17" t="s">
        <v>5</v>
      </c>
      <c r="E35" s="17" t="s">
        <v>229</v>
      </c>
      <c r="F35" s="17" t="s">
        <v>7</v>
      </c>
      <c r="G35" s="17" t="s">
        <v>58</v>
      </c>
      <c r="H35" s="17" t="s">
        <v>59</v>
      </c>
      <c r="I35" s="17" t="s">
        <v>60</v>
      </c>
      <c r="J35" s="17" t="s">
        <v>62</v>
      </c>
      <c r="K35" s="17" t="s">
        <v>61</v>
      </c>
      <c r="L35" s="35" t="s">
        <v>210</v>
      </c>
      <c r="M35" s="35" t="s">
        <v>211</v>
      </c>
      <c r="N35" s="17" t="s">
        <v>213</v>
      </c>
      <c r="O35" s="36" t="s">
        <v>212</v>
      </c>
      <c r="P35" s="17" t="s">
        <v>63</v>
      </c>
      <c r="Q35" s="17" t="s">
        <v>64</v>
      </c>
    </row>
    <row r="36" spans="1:17" ht="25.5" customHeight="1">
      <c r="A36" s="38">
        <f t="shared" ref="A36" ca="1" si="10">NOW()</f>
        <v>43373.719981365743</v>
      </c>
      <c r="B36" s="39" t="s">
        <v>27</v>
      </c>
      <c r="C36" s="35" t="str">
        <f>VLOOKUP(B36,工资表,2,1)</f>
        <v>宋辉</v>
      </c>
      <c r="D36" s="35" t="str">
        <f>VLOOKUP(B36,工资表,3,1)</f>
        <v>企划部</v>
      </c>
      <c r="E36" s="35" t="str">
        <f>VLOOKUP(B36,工资表,4,1)</f>
        <v>部门经理</v>
      </c>
      <c r="F36" s="35">
        <f>VLOOKUP(B36,工资表,5,1)</f>
        <v>3500</v>
      </c>
      <c r="G36" s="35">
        <f>VLOOKUP(B36,工资表,6,1)</f>
        <v>200</v>
      </c>
      <c r="H36" s="35">
        <f>VLOOKUP(B36,工资表,7,1)</f>
        <v>100</v>
      </c>
      <c r="I36" s="35">
        <f>VLOOKUP(B36,工资表,8,1)</f>
        <v>80</v>
      </c>
      <c r="J36" s="35">
        <f>VLOOKUP(B36,工资表,9,1)</f>
        <v>100</v>
      </c>
      <c r="K36" s="35">
        <f>VLOOKUP(B36,工资表,10,1)</f>
        <v>3780</v>
      </c>
      <c r="L36" s="35">
        <f>VLOOKUP(B36,工资表,11,1)</f>
        <v>302.40000000000003</v>
      </c>
      <c r="M36" s="35">
        <f>VLOOKUP(B36,工资表,12,1)</f>
        <v>75.600000000000009</v>
      </c>
      <c r="N36" s="35">
        <f>VLOOKUP(B36,工资表,13,1)</f>
        <v>453.59999999999997</v>
      </c>
      <c r="O36" s="35">
        <f>VLOOKUP(B36,工资表,14,1)</f>
        <v>2948.4</v>
      </c>
      <c r="P36" s="35">
        <f>VLOOKUP(B36,工资表,15,1)</f>
        <v>0</v>
      </c>
      <c r="Q36" s="35">
        <f>VLOOKUP(B36,工资表,16,1)</f>
        <v>2948.4</v>
      </c>
    </row>
    <row r="37" spans="1:17" ht="25.5" customHeight="1">
      <c r="A37" s="58" t="s">
        <v>215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</row>
    <row r="38" spans="1:17" ht="25.5" customHeight="1">
      <c r="A38" s="17" t="s">
        <v>214</v>
      </c>
      <c r="B38" s="17" t="s">
        <v>1</v>
      </c>
      <c r="C38" s="17" t="s">
        <v>2</v>
      </c>
      <c r="D38" s="17" t="s">
        <v>5</v>
      </c>
      <c r="E38" s="17" t="s">
        <v>229</v>
      </c>
      <c r="F38" s="17" t="s">
        <v>7</v>
      </c>
      <c r="G38" s="17" t="s">
        <v>58</v>
      </c>
      <c r="H38" s="17" t="s">
        <v>59</v>
      </c>
      <c r="I38" s="17" t="s">
        <v>60</v>
      </c>
      <c r="J38" s="17" t="s">
        <v>62</v>
      </c>
      <c r="K38" s="17" t="s">
        <v>61</v>
      </c>
      <c r="L38" s="35" t="s">
        <v>210</v>
      </c>
      <c r="M38" s="35" t="s">
        <v>211</v>
      </c>
      <c r="N38" s="17" t="s">
        <v>213</v>
      </c>
      <c r="O38" s="36" t="s">
        <v>212</v>
      </c>
      <c r="P38" s="17" t="s">
        <v>63</v>
      </c>
      <c r="Q38" s="17" t="s">
        <v>64</v>
      </c>
    </row>
    <row r="39" spans="1:17" ht="25.5" customHeight="1">
      <c r="A39" s="38">
        <f t="shared" ref="A39" ca="1" si="11">NOW()</f>
        <v>43373.719981365743</v>
      </c>
      <c r="B39" s="39" t="s">
        <v>28</v>
      </c>
      <c r="C39" s="35" t="str">
        <f>VLOOKUP(B39,工资表,2,1)</f>
        <v>宋辉</v>
      </c>
      <c r="D39" s="35" t="str">
        <f>VLOOKUP(B39,工资表,3,1)</f>
        <v>企划部</v>
      </c>
      <c r="E39" s="35" t="str">
        <f>VLOOKUP(B39,工资表,4,1)</f>
        <v>部门经理</v>
      </c>
      <c r="F39" s="35">
        <f>VLOOKUP(B39,工资表,5,1)</f>
        <v>3500</v>
      </c>
      <c r="G39" s="35">
        <f>VLOOKUP(B39,工资表,6,1)</f>
        <v>200</v>
      </c>
      <c r="H39" s="35">
        <f>VLOOKUP(B39,工资表,7,1)</f>
        <v>100</v>
      </c>
      <c r="I39" s="35">
        <f>VLOOKUP(B39,工资表,8,1)</f>
        <v>80</v>
      </c>
      <c r="J39" s="35">
        <f>VLOOKUP(B39,工资表,9,1)</f>
        <v>100</v>
      </c>
      <c r="K39" s="35">
        <f>VLOOKUP(B39,工资表,10,1)</f>
        <v>3780</v>
      </c>
      <c r="L39" s="35">
        <f>VLOOKUP(B39,工资表,11,1)</f>
        <v>302.40000000000003</v>
      </c>
      <c r="M39" s="35">
        <f>VLOOKUP(B39,工资表,12,1)</f>
        <v>75.600000000000009</v>
      </c>
      <c r="N39" s="35">
        <f>VLOOKUP(B39,工资表,13,1)</f>
        <v>453.59999999999997</v>
      </c>
      <c r="O39" s="35">
        <f>VLOOKUP(B39,工资表,14,1)</f>
        <v>2948.4</v>
      </c>
      <c r="P39" s="35">
        <f>VLOOKUP(B39,工资表,15,1)</f>
        <v>0</v>
      </c>
      <c r="Q39" s="35">
        <f>VLOOKUP(B39,工资表,16,1)</f>
        <v>2948.4</v>
      </c>
    </row>
    <row r="40" spans="1:17" ht="25.5" customHeight="1">
      <c r="A40" s="58" t="s">
        <v>215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</row>
    <row r="41" spans="1:17" ht="25.5" customHeight="1">
      <c r="A41" s="17" t="s">
        <v>214</v>
      </c>
      <c r="B41" s="17" t="s">
        <v>1</v>
      </c>
      <c r="C41" s="17" t="s">
        <v>2</v>
      </c>
      <c r="D41" s="17" t="s">
        <v>5</v>
      </c>
      <c r="E41" s="17" t="s">
        <v>229</v>
      </c>
      <c r="F41" s="17" t="s">
        <v>7</v>
      </c>
      <c r="G41" s="17" t="s">
        <v>58</v>
      </c>
      <c r="H41" s="17" t="s">
        <v>59</v>
      </c>
      <c r="I41" s="17" t="s">
        <v>60</v>
      </c>
      <c r="J41" s="17" t="s">
        <v>62</v>
      </c>
      <c r="K41" s="17" t="s">
        <v>61</v>
      </c>
      <c r="L41" s="35" t="s">
        <v>210</v>
      </c>
      <c r="M41" s="35" t="s">
        <v>211</v>
      </c>
      <c r="N41" s="17" t="s">
        <v>213</v>
      </c>
      <c r="O41" s="36" t="s">
        <v>212</v>
      </c>
      <c r="P41" s="17" t="s">
        <v>63</v>
      </c>
      <c r="Q41" s="17" t="s">
        <v>64</v>
      </c>
    </row>
    <row r="42" spans="1:17" ht="25.5" customHeight="1">
      <c r="A42" s="38">
        <f t="shared" ref="A42" ca="1" si="12">NOW()</f>
        <v>43373.719981365743</v>
      </c>
      <c r="B42" s="39" t="s">
        <v>19</v>
      </c>
      <c r="C42" s="35" t="str">
        <f>VLOOKUP(B42,工资表,2,1)</f>
        <v>齐敏</v>
      </c>
      <c r="D42" s="35" t="str">
        <f>VLOOKUP(B42,工资表,3,1)</f>
        <v>企划部</v>
      </c>
      <c r="E42" s="35" t="str">
        <f>VLOOKUP(B42,工资表,4,1)</f>
        <v>广告策划</v>
      </c>
      <c r="F42" s="35">
        <f>VLOOKUP(B42,工资表,5,1)</f>
        <v>3800</v>
      </c>
      <c r="G42" s="35">
        <f>VLOOKUP(B42,工资表,6,1)</f>
        <v>200</v>
      </c>
      <c r="H42" s="35">
        <f>VLOOKUP(B42,工资表,7,1)</f>
        <v>300</v>
      </c>
      <c r="I42" s="35">
        <f>VLOOKUP(B42,工资表,8,1)</f>
        <v>40</v>
      </c>
      <c r="J42" s="35">
        <f>VLOOKUP(B42,工资表,9,1)</f>
        <v>0</v>
      </c>
      <c r="K42" s="35">
        <f>VLOOKUP(B42,工资表,10,1)</f>
        <v>4340</v>
      </c>
      <c r="L42" s="35">
        <f>VLOOKUP(B42,工资表,11,1)</f>
        <v>347.2</v>
      </c>
      <c r="M42" s="35">
        <f>VLOOKUP(B42,工资表,12,1)</f>
        <v>86.8</v>
      </c>
      <c r="N42" s="35">
        <f>VLOOKUP(B42,工资表,13,1)</f>
        <v>520.79999999999995</v>
      </c>
      <c r="O42" s="35">
        <f>VLOOKUP(B42,工资表,14,1)</f>
        <v>3385.2</v>
      </c>
      <c r="P42" s="35">
        <f>VLOOKUP(B42,工资表,15,1)</f>
        <v>0</v>
      </c>
      <c r="Q42" s="35">
        <f>VLOOKUP(B42,工资表,16,1)</f>
        <v>3385.2</v>
      </c>
    </row>
    <row r="43" spans="1:17" ht="25.5" customHeight="1">
      <c r="A43" s="58" t="s">
        <v>215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17" ht="25.5" customHeight="1">
      <c r="A44" s="17" t="s">
        <v>214</v>
      </c>
      <c r="B44" s="17" t="s">
        <v>1</v>
      </c>
      <c r="C44" s="17" t="s">
        <v>2</v>
      </c>
      <c r="D44" s="17" t="s">
        <v>5</v>
      </c>
      <c r="E44" s="17" t="s">
        <v>229</v>
      </c>
      <c r="F44" s="17" t="s">
        <v>7</v>
      </c>
      <c r="G44" s="17" t="s">
        <v>58</v>
      </c>
      <c r="H44" s="17" t="s">
        <v>59</v>
      </c>
      <c r="I44" s="17" t="s">
        <v>60</v>
      </c>
      <c r="J44" s="17" t="s">
        <v>62</v>
      </c>
      <c r="K44" s="17" t="s">
        <v>61</v>
      </c>
      <c r="L44" s="35" t="s">
        <v>210</v>
      </c>
      <c r="M44" s="35" t="s">
        <v>211</v>
      </c>
      <c r="N44" s="17" t="s">
        <v>213</v>
      </c>
      <c r="O44" s="36" t="s">
        <v>212</v>
      </c>
      <c r="P44" s="17" t="s">
        <v>63</v>
      </c>
      <c r="Q44" s="17" t="s">
        <v>64</v>
      </c>
    </row>
    <row r="45" spans="1:17" ht="25.5" customHeight="1">
      <c r="A45" s="38">
        <f t="shared" ref="A45" ca="1" si="13">NOW()</f>
        <v>43373.719981365743</v>
      </c>
      <c r="B45" s="39" t="s">
        <v>23</v>
      </c>
      <c r="C45" s="35" t="str">
        <f>VLOOKUP(B45,工资表,2,1)</f>
        <v>张瑞峰</v>
      </c>
      <c r="D45" s="35" t="str">
        <f>VLOOKUP(B45,工资表,3,1)</f>
        <v>销售部</v>
      </c>
      <c r="E45" s="35" t="str">
        <f>VLOOKUP(B45,工资表,4,1)</f>
        <v>业务员</v>
      </c>
      <c r="F45" s="35">
        <f>VLOOKUP(B45,工资表,5,1)</f>
        <v>3000</v>
      </c>
      <c r="G45" s="35">
        <f>VLOOKUP(B45,工资表,6,1)</f>
        <v>200</v>
      </c>
      <c r="H45" s="35">
        <f>VLOOKUP(B45,工资表,7,1)</f>
        <v>100</v>
      </c>
      <c r="I45" s="35">
        <f>VLOOKUP(B45,工资表,8,1)</f>
        <v>40</v>
      </c>
      <c r="J45" s="35">
        <f>VLOOKUP(B45,工资表,9,1)</f>
        <v>10</v>
      </c>
      <c r="K45" s="35">
        <f>VLOOKUP(B45,工资表,10,1)</f>
        <v>3330</v>
      </c>
      <c r="L45" s="35">
        <f>VLOOKUP(B45,工资表,11,1)</f>
        <v>266.39999999999998</v>
      </c>
      <c r="M45" s="35">
        <f>VLOOKUP(B45,工资表,12,1)</f>
        <v>66.599999999999994</v>
      </c>
      <c r="N45" s="35">
        <f>VLOOKUP(B45,工资表,13,1)</f>
        <v>399.59999999999997</v>
      </c>
      <c r="O45" s="35">
        <f>VLOOKUP(B45,工资表,14,1)</f>
        <v>2597.4</v>
      </c>
      <c r="P45" s="35">
        <f>VLOOKUP(B45,工资表,15,1)</f>
        <v>0</v>
      </c>
      <c r="Q45" s="35">
        <f>VLOOKUP(B45,工资表,16,1)</f>
        <v>2597.4</v>
      </c>
    </row>
    <row r="46" spans="1:17" ht="25.5" customHeight="1">
      <c r="A46" s="58" t="s">
        <v>215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</row>
    <row r="47" spans="1:17" ht="25.5" customHeight="1">
      <c r="A47" s="17" t="s">
        <v>214</v>
      </c>
      <c r="B47" s="17" t="s">
        <v>1</v>
      </c>
      <c r="C47" s="17" t="s">
        <v>2</v>
      </c>
      <c r="D47" s="17" t="s">
        <v>5</v>
      </c>
      <c r="E47" s="17" t="s">
        <v>229</v>
      </c>
      <c r="F47" s="17" t="s">
        <v>7</v>
      </c>
      <c r="G47" s="17" t="s">
        <v>58</v>
      </c>
      <c r="H47" s="17" t="s">
        <v>59</v>
      </c>
      <c r="I47" s="17" t="s">
        <v>60</v>
      </c>
      <c r="J47" s="17" t="s">
        <v>62</v>
      </c>
      <c r="K47" s="17" t="s">
        <v>61</v>
      </c>
      <c r="L47" s="35" t="s">
        <v>210</v>
      </c>
      <c r="M47" s="35" t="s">
        <v>211</v>
      </c>
      <c r="N47" s="17" t="s">
        <v>213</v>
      </c>
      <c r="O47" s="36" t="s">
        <v>212</v>
      </c>
      <c r="P47" s="17" t="s">
        <v>63</v>
      </c>
      <c r="Q47" s="17" t="s">
        <v>64</v>
      </c>
    </row>
    <row r="48" spans="1:17" ht="25.5" customHeight="1">
      <c r="A48" s="38">
        <f t="shared" ref="A48" ca="1" si="14">NOW()</f>
        <v>43373.719981365743</v>
      </c>
      <c r="B48" s="39" t="s">
        <v>248</v>
      </c>
      <c r="C48" s="35" t="str">
        <f>VLOOKUP(B48,工资表,2,1)</f>
        <v>张瑞峰</v>
      </c>
      <c r="D48" s="35" t="str">
        <f>VLOOKUP(B48,工资表,3,1)</f>
        <v>销售部</v>
      </c>
      <c r="E48" s="35" t="str">
        <f>VLOOKUP(B48,工资表,4,1)</f>
        <v>业务员</v>
      </c>
      <c r="F48" s="35">
        <f>VLOOKUP(B48,工资表,5,1)</f>
        <v>3000</v>
      </c>
      <c r="G48" s="35">
        <f>VLOOKUP(B48,工资表,6,1)</f>
        <v>200</v>
      </c>
      <c r="H48" s="35">
        <f>VLOOKUP(B48,工资表,7,1)</f>
        <v>100</v>
      </c>
      <c r="I48" s="35">
        <f>VLOOKUP(B48,工资表,8,1)</f>
        <v>40</v>
      </c>
      <c r="J48" s="35">
        <f>VLOOKUP(B48,工资表,9,1)</f>
        <v>10</v>
      </c>
      <c r="K48" s="35">
        <f>VLOOKUP(B48,工资表,10,1)</f>
        <v>3330</v>
      </c>
      <c r="L48" s="35">
        <f>VLOOKUP(B48,工资表,11,1)</f>
        <v>266.39999999999998</v>
      </c>
      <c r="M48" s="35">
        <f>VLOOKUP(B48,工资表,12,1)</f>
        <v>66.599999999999994</v>
      </c>
      <c r="N48" s="35">
        <f>VLOOKUP(B48,工资表,13,1)</f>
        <v>399.59999999999997</v>
      </c>
      <c r="O48" s="35">
        <f>VLOOKUP(B48,工资表,14,1)</f>
        <v>2597.4</v>
      </c>
      <c r="P48" s="35">
        <f>VLOOKUP(B48,工资表,15,1)</f>
        <v>0</v>
      </c>
      <c r="Q48" s="35">
        <f>VLOOKUP(B48,工资表,16,1)</f>
        <v>2597.4</v>
      </c>
    </row>
    <row r="49" spans="1:17" ht="25.5" customHeight="1">
      <c r="A49" s="58" t="s">
        <v>215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</row>
    <row r="50" spans="1:17" ht="25.5" customHeight="1">
      <c r="A50" s="17" t="s">
        <v>214</v>
      </c>
      <c r="B50" s="17" t="s">
        <v>1</v>
      </c>
      <c r="C50" s="17" t="s">
        <v>2</v>
      </c>
      <c r="D50" s="17" t="s">
        <v>5</v>
      </c>
      <c r="E50" s="17" t="s">
        <v>229</v>
      </c>
      <c r="F50" s="17" t="s">
        <v>7</v>
      </c>
      <c r="G50" s="17" t="s">
        <v>58</v>
      </c>
      <c r="H50" s="17" t="s">
        <v>59</v>
      </c>
      <c r="I50" s="17" t="s">
        <v>60</v>
      </c>
      <c r="J50" s="17" t="s">
        <v>62</v>
      </c>
      <c r="K50" s="17" t="s">
        <v>61</v>
      </c>
      <c r="L50" s="35" t="s">
        <v>210</v>
      </c>
      <c r="M50" s="35" t="s">
        <v>211</v>
      </c>
      <c r="N50" s="17" t="s">
        <v>213</v>
      </c>
      <c r="O50" s="36" t="s">
        <v>212</v>
      </c>
      <c r="P50" s="17" t="s">
        <v>63</v>
      </c>
      <c r="Q50" s="17" t="s">
        <v>64</v>
      </c>
    </row>
    <row r="51" spans="1:17" ht="25.5" customHeight="1">
      <c r="A51" s="38">
        <f t="shared" ref="A51" ca="1" si="15">NOW()</f>
        <v>43373.719981365743</v>
      </c>
      <c r="B51" s="39" t="s">
        <v>249</v>
      </c>
      <c r="C51" s="35" t="str">
        <f>VLOOKUP(B51,工资表,2,1)</f>
        <v>张瑞峰</v>
      </c>
      <c r="D51" s="35" t="str">
        <f>VLOOKUP(B51,工资表,3,1)</f>
        <v>销售部</v>
      </c>
      <c r="E51" s="35" t="str">
        <f>VLOOKUP(B51,工资表,4,1)</f>
        <v>业务员</v>
      </c>
      <c r="F51" s="35">
        <f>VLOOKUP(B51,工资表,5,1)</f>
        <v>3000</v>
      </c>
      <c r="G51" s="35">
        <f>VLOOKUP(B51,工资表,6,1)</f>
        <v>200</v>
      </c>
      <c r="H51" s="35">
        <f>VLOOKUP(B51,工资表,7,1)</f>
        <v>100</v>
      </c>
      <c r="I51" s="35">
        <f>VLOOKUP(B51,工资表,8,1)</f>
        <v>40</v>
      </c>
      <c r="J51" s="35">
        <f>VLOOKUP(B51,工资表,9,1)</f>
        <v>10</v>
      </c>
      <c r="K51" s="35">
        <f>VLOOKUP(B51,工资表,10,1)</f>
        <v>3330</v>
      </c>
      <c r="L51" s="35">
        <f>VLOOKUP(B51,工资表,11,1)</f>
        <v>266.39999999999998</v>
      </c>
      <c r="M51" s="35">
        <f>VLOOKUP(B51,工资表,12,1)</f>
        <v>66.599999999999994</v>
      </c>
      <c r="N51" s="35">
        <f>VLOOKUP(B51,工资表,13,1)</f>
        <v>399.59999999999997</v>
      </c>
      <c r="O51" s="35">
        <f>VLOOKUP(B51,工资表,14,1)</f>
        <v>2597.4</v>
      </c>
      <c r="P51" s="35">
        <f>VLOOKUP(B51,工资表,15,1)</f>
        <v>0</v>
      </c>
      <c r="Q51" s="35">
        <f>VLOOKUP(B51,工资表,16,1)</f>
        <v>2597.4</v>
      </c>
    </row>
    <row r="52" spans="1:17" ht="25.5" customHeight="1">
      <c r="A52" s="58" t="s">
        <v>215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</row>
    <row r="53" spans="1:17" ht="25.5" customHeight="1">
      <c r="A53" s="17" t="s">
        <v>214</v>
      </c>
      <c r="B53" s="17" t="s">
        <v>1</v>
      </c>
      <c r="C53" s="17" t="s">
        <v>2</v>
      </c>
      <c r="D53" s="17" t="s">
        <v>5</v>
      </c>
      <c r="E53" s="17" t="s">
        <v>229</v>
      </c>
      <c r="F53" s="17" t="s">
        <v>7</v>
      </c>
      <c r="G53" s="17" t="s">
        <v>58</v>
      </c>
      <c r="H53" s="17" t="s">
        <v>59</v>
      </c>
      <c r="I53" s="17" t="s">
        <v>60</v>
      </c>
      <c r="J53" s="17" t="s">
        <v>62</v>
      </c>
      <c r="K53" s="17" t="s">
        <v>61</v>
      </c>
      <c r="L53" s="35" t="s">
        <v>210</v>
      </c>
      <c r="M53" s="35" t="s">
        <v>211</v>
      </c>
      <c r="N53" s="17" t="s">
        <v>213</v>
      </c>
      <c r="O53" s="36" t="s">
        <v>212</v>
      </c>
      <c r="P53" s="17" t="s">
        <v>63</v>
      </c>
      <c r="Q53" s="17" t="s">
        <v>64</v>
      </c>
    </row>
    <row r="54" spans="1:17" ht="25.5" customHeight="1">
      <c r="A54" s="38">
        <f t="shared" ref="A54" ca="1" si="16">NOW()</f>
        <v>43373.719981365743</v>
      </c>
      <c r="B54" s="39" t="s">
        <v>250</v>
      </c>
      <c r="C54" s="35" t="str">
        <f>VLOOKUP(B54,工资表,2,1)</f>
        <v>张瑞峰</v>
      </c>
      <c r="D54" s="35" t="str">
        <f>VLOOKUP(B54,工资表,3,1)</f>
        <v>销售部</v>
      </c>
      <c r="E54" s="35" t="str">
        <f>VLOOKUP(B54,工资表,4,1)</f>
        <v>业务员</v>
      </c>
      <c r="F54" s="35">
        <f>VLOOKUP(B54,工资表,5,1)</f>
        <v>3000</v>
      </c>
      <c r="G54" s="35">
        <f>VLOOKUP(B54,工资表,6,1)</f>
        <v>200</v>
      </c>
      <c r="H54" s="35">
        <f>VLOOKUP(B54,工资表,7,1)</f>
        <v>100</v>
      </c>
      <c r="I54" s="35">
        <f>VLOOKUP(B54,工资表,8,1)</f>
        <v>40</v>
      </c>
      <c r="J54" s="35">
        <f>VLOOKUP(B54,工资表,9,1)</f>
        <v>10</v>
      </c>
      <c r="K54" s="35">
        <f>VLOOKUP(B54,工资表,10,1)</f>
        <v>3330</v>
      </c>
      <c r="L54" s="35">
        <f>VLOOKUP(B54,工资表,11,1)</f>
        <v>266.39999999999998</v>
      </c>
      <c r="M54" s="35">
        <f>VLOOKUP(B54,工资表,12,1)</f>
        <v>66.599999999999994</v>
      </c>
      <c r="N54" s="35">
        <f>VLOOKUP(B54,工资表,13,1)</f>
        <v>399.59999999999997</v>
      </c>
      <c r="O54" s="35">
        <f>VLOOKUP(B54,工资表,14,1)</f>
        <v>2597.4</v>
      </c>
      <c r="P54" s="35">
        <f>VLOOKUP(B54,工资表,15,1)</f>
        <v>0</v>
      </c>
      <c r="Q54" s="35">
        <f>VLOOKUP(B54,工资表,16,1)</f>
        <v>2597.4</v>
      </c>
    </row>
    <row r="55" spans="1:17" ht="25.5" customHeight="1">
      <c r="A55" s="58" t="s">
        <v>215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</row>
    <row r="56" spans="1:17" ht="25.5" customHeight="1">
      <c r="A56" s="17" t="s">
        <v>214</v>
      </c>
      <c r="B56" s="17" t="s">
        <v>1</v>
      </c>
      <c r="C56" s="17" t="s">
        <v>2</v>
      </c>
      <c r="D56" s="17" t="s">
        <v>5</v>
      </c>
      <c r="E56" s="17" t="s">
        <v>229</v>
      </c>
      <c r="F56" s="17" t="s">
        <v>7</v>
      </c>
      <c r="G56" s="17" t="s">
        <v>58</v>
      </c>
      <c r="H56" s="17" t="s">
        <v>59</v>
      </c>
      <c r="I56" s="17" t="s">
        <v>60</v>
      </c>
      <c r="J56" s="17" t="s">
        <v>62</v>
      </c>
      <c r="K56" s="17" t="s">
        <v>61</v>
      </c>
      <c r="L56" s="35" t="s">
        <v>210</v>
      </c>
      <c r="M56" s="35" t="s">
        <v>211</v>
      </c>
      <c r="N56" s="17" t="s">
        <v>213</v>
      </c>
      <c r="O56" s="36" t="s">
        <v>212</v>
      </c>
      <c r="P56" s="17" t="s">
        <v>63</v>
      </c>
      <c r="Q56" s="17" t="s">
        <v>64</v>
      </c>
    </row>
    <row r="57" spans="1:17" ht="25.5" customHeight="1">
      <c r="A57" s="38">
        <f t="shared" ref="A57" ca="1" si="17">NOW()</f>
        <v>43373.719981365743</v>
      </c>
      <c r="B57" s="39" t="s">
        <v>251</v>
      </c>
      <c r="C57" s="35" t="str">
        <f>VLOOKUP(B57,工资表,2,1)</f>
        <v>张瑞峰</v>
      </c>
      <c r="D57" s="35" t="str">
        <f>VLOOKUP(B57,工资表,3,1)</f>
        <v>销售部</v>
      </c>
      <c r="E57" s="35" t="str">
        <f>VLOOKUP(B57,工资表,4,1)</f>
        <v>业务员</v>
      </c>
      <c r="F57" s="35">
        <f>VLOOKUP(B57,工资表,5,1)</f>
        <v>3000</v>
      </c>
      <c r="G57" s="35">
        <f>VLOOKUP(B57,工资表,6,1)</f>
        <v>200</v>
      </c>
      <c r="H57" s="35">
        <f>VLOOKUP(B57,工资表,7,1)</f>
        <v>100</v>
      </c>
      <c r="I57" s="35">
        <f>VLOOKUP(B57,工资表,8,1)</f>
        <v>40</v>
      </c>
      <c r="J57" s="35">
        <f>VLOOKUP(B57,工资表,9,1)</f>
        <v>10</v>
      </c>
      <c r="K57" s="35">
        <f>VLOOKUP(B57,工资表,10,1)</f>
        <v>3330</v>
      </c>
      <c r="L57" s="35">
        <f>VLOOKUP(B57,工资表,11,1)</f>
        <v>266.39999999999998</v>
      </c>
      <c r="M57" s="35">
        <f>VLOOKUP(B57,工资表,12,1)</f>
        <v>66.599999999999994</v>
      </c>
      <c r="N57" s="35">
        <f>VLOOKUP(B57,工资表,13,1)</f>
        <v>399.59999999999997</v>
      </c>
      <c r="O57" s="35">
        <f>VLOOKUP(B57,工资表,14,1)</f>
        <v>2597.4</v>
      </c>
      <c r="P57" s="35">
        <f>VLOOKUP(B57,工资表,15,1)</f>
        <v>0</v>
      </c>
      <c r="Q57" s="35">
        <f>VLOOKUP(B57,工资表,16,1)</f>
        <v>2597.4</v>
      </c>
    </row>
    <row r="58" spans="1:17" ht="25.5" customHeight="1">
      <c r="A58" s="58" t="s">
        <v>215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</row>
    <row r="59" spans="1:17" ht="25.5" customHeight="1">
      <c r="A59" s="17" t="s">
        <v>214</v>
      </c>
      <c r="B59" s="17" t="s">
        <v>1</v>
      </c>
      <c r="C59" s="17" t="s">
        <v>2</v>
      </c>
      <c r="D59" s="17" t="s">
        <v>5</v>
      </c>
      <c r="E59" s="17" t="s">
        <v>229</v>
      </c>
      <c r="F59" s="17" t="s">
        <v>7</v>
      </c>
      <c r="G59" s="17" t="s">
        <v>58</v>
      </c>
      <c r="H59" s="17" t="s">
        <v>59</v>
      </c>
      <c r="I59" s="17" t="s">
        <v>60</v>
      </c>
      <c r="J59" s="17" t="s">
        <v>62</v>
      </c>
      <c r="K59" s="17" t="s">
        <v>61</v>
      </c>
      <c r="L59" s="35" t="s">
        <v>210</v>
      </c>
      <c r="M59" s="35" t="s">
        <v>211</v>
      </c>
      <c r="N59" s="17" t="s">
        <v>213</v>
      </c>
      <c r="O59" s="36" t="s">
        <v>212</v>
      </c>
      <c r="P59" s="17" t="s">
        <v>63</v>
      </c>
      <c r="Q59" s="17" t="s">
        <v>64</v>
      </c>
    </row>
    <row r="60" spans="1:17" ht="25.5" customHeight="1">
      <c r="A60" s="38">
        <f t="shared" ref="A60" ca="1" si="18">NOW()</f>
        <v>43373.719981365743</v>
      </c>
      <c r="B60" s="39" t="s">
        <v>252</v>
      </c>
      <c r="C60" s="35" t="str">
        <f>VLOOKUP(B60,工资表,2,1)</f>
        <v>张瑞峰</v>
      </c>
      <c r="D60" s="35" t="str">
        <f>VLOOKUP(B60,工资表,3,1)</f>
        <v>销售部</v>
      </c>
      <c r="E60" s="35" t="str">
        <f>VLOOKUP(B60,工资表,4,1)</f>
        <v>业务员</v>
      </c>
      <c r="F60" s="35">
        <f>VLOOKUP(B60,工资表,5,1)</f>
        <v>3000</v>
      </c>
      <c r="G60" s="35">
        <f>VLOOKUP(B60,工资表,6,1)</f>
        <v>200</v>
      </c>
      <c r="H60" s="35">
        <f>VLOOKUP(B60,工资表,7,1)</f>
        <v>100</v>
      </c>
      <c r="I60" s="35">
        <f>VLOOKUP(B60,工资表,8,1)</f>
        <v>40</v>
      </c>
      <c r="J60" s="35">
        <f>VLOOKUP(B60,工资表,9,1)</f>
        <v>10</v>
      </c>
      <c r="K60" s="35">
        <f>VLOOKUP(B60,工资表,10,1)</f>
        <v>3330</v>
      </c>
      <c r="L60" s="35">
        <f>VLOOKUP(B60,工资表,11,1)</f>
        <v>266.39999999999998</v>
      </c>
      <c r="M60" s="35">
        <f>VLOOKUP(B60,工资表,12,1)</f>
        <v>66.599999999999994</v>
      </c>
      <c r="N60" s="35">
        <f>VLOOKUP(B60,工资表,13,1)</f>
        <v>399.59999999999997</v>
      </c>
      <c r="O60" s="35">
        <f>VLOOKUP(B60,工资表,14,1)</f>
        <v>2597.4</v>
      </c>
      <c r="P60" s="35">
        <f>VLOOKUP(B60,工资表,15,1)</f>
        <v>0</v>
      </c>
      <c r="Q60" s="35">
        <f>VLOOKUP(B60,工资表,16,1)</f>
        <v>2597.4</v>
      </c>
    </row>
    <row r="61" spans="1:17" ht="25.5" customHeight="1">
      <c r="A61" s="58" t="s">
        <v>215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</row>
    <row r="62" spans="1:17" ht="25.5" customHeight="1">
      <c r="A62" s="17" t="s">
        <v>214</v>
      </c>
      <c r="B62" s="17" t="s">
        <v>1</v>
      </c>
      <c r="C62" s="17" t="s">
        <v>2</v>
      </c>
      <c r="D62" s="17" t="s">
        <v>5</v>
      </c>
      <c r="E62" s="17" t="s">
        <v>229</v>
      </c>
      <c r="F62" s="17" t="s">
        <v>7</v>
      </c>
      <c r="G62" s="17" t="s">
        <v>58</v>
      </c>
      <c r="H62" s="17" t="s">
        <v>59</v>
      </c>
      <c r="I62" s="17" t="s">
        <v>60</v>
      </c>
      <c r="J62" s="17" t="s">
        <v>62</v>
      </c>
      <c r="K62" s="17" t="s">
        <v>61</v>
      </c>
      <c r="L62" s="35" t="s">
        <v>210</v>
      </c>
      <c r="M62" s="35" t="s">
        <v>211</v>
      </c>
      <c r="N62" s="17" t="s">
        <v>213</v>
      </c>
      <c r="O62" s="36" t="s">
        <v>212</v>
      </c>
      <c r="P62" s="17" t="s">
        <v>63</v>
      </c>
      <c r="Q62" s="17" t="s">
        <v>64</v>
      </c>
    </row>
    <row r="63" spans="1:17" ht="25.5" customHeight="1">
      <c r="A63" s="38">
        <f t="shared" ref="A63" ca="1" si="19">NOW()</f>
        <v>43373.719981365743</v>
      </c>
      <c r="B63" s="39" t="s">
        <v>253</v>
      </c>
      <c r="C63" s="35" t="str">
        <f>VLOOKUP(B63,工资表,2,1)</f>
        <v>张瑞峰</v>
      </c>
      <c r="D63" s="35" t="str">
        <f>VLOOKUP(B63,工资表,3,1)</f>
        <v>销售部</v>
      </c>
      <c r="E63" s="35" t="str">
        <f>VLOOKUP(B63,工资表,4,1)</f>
        <v>业务员</v>
      </c>
      <c r="F63" s="35">
        <f>VLOOKUP(B63,工资表,5,1)</f>
        <v>3000</v>
      </c>
      <c r="G63" s="35">
        <f>VLOOKUP(B63,工资表,6,1)</f>
        <v>200</v>
      </c>
      <c r="H63" s="35">
        <f>VLOOKUP(B63,工资表,7,1)</f>
        <v>100</v>
      </c>
      <c r="I63" s="35">
        <f>VLOOKUP(B63,工资表,8,1)</f>
        <v>40</v>
      </c>
      <c r="J63" s="35">
        <f>VLOOKUP(B63,工资表,9,1)</f>
        <v>10</v>
      </c>
      <c r="K63" s="35">
        <f>VLOOKUP(B63,工资表,10,1)</f>
        <v>3330</v>
      </c>
      <c r="L63" s="35">
        <f>VLOOKUP(B63,工资表,11,1)</f>
        <v>266.39999999999998</v>
      </c>
      <c r="M63" s="35">
        <f>VLOOKUP(B63,工资表,12,1)</f>
        <v>66.599999999999994</v>
      </c>
      <c r="N63" s="35">
        <f>VLOOKUP(B63,工资表,13,1)</f>
        <v>399.59999999999997</v>
      </c>
      <c r="O63" s="35">
        <f>VLOOKUP(B63,工资表,14,1)</f>
        <v>2597.4</v>
      </c>
      <c r="P63" s="35">
        <f>VLOOKUP(B63,工资表,15,1)</f>
        <v>0</v>
      </c>
      <c r="Q63" s="35">
        <f>VLOOKUP(B63,工资表,16,1)</f>
        <v>2597.4</v>
      </c>
    </row>
    <row r="64" spans="1:17" ht="25.5" customHeight="1">
      <c r="A64" s="58" t="s">
        <v>215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</row>
    <row r="65" spans="1:17" ht="25.5" customHeight="1">
      <c r="A65" s="17" t="s">
        <v>214</v>
      </c>
      <c r="B65" s="17" t="s">
        <v>1</v>
      </c>
      <c r="C65" s="17" t="s">
        <v>2</v>
      </c>
      <c r="D65" s="17" t="s">
        <v>5</v>
      </c>
      <c r="E65" s="17" t="s">
        <v>229</v>
      </c>
      <c r="F65" s="17" t="s">
        <v>7</v>
      </c>
      <c r="G65" s="17" t="s">
        <v>58</v>
      </c>
      <c r="H65" s="17" t="s">
        <v>59</v>
      </c>
      <c r="I65" s="17" t="s">
        <v>60</v>
      </c>
      <c r="J65" s="17" t="s">
        <v>62</v>
      </c>
      <c r="K65" s="17" t="s">
        <v>61</v>
      </c>
      <c r="L65" s="35" t="s">
        <v>210</v>
      </c>
      <c r="M65" s="35" t="s">
        <v>211</v>
      </c>
      <c r="N65" s="17" t="s">
        <v>213</v>
      </c>
      <c r="O65" s="36" t="s">
        <v>212</v>
      </c>
      <c r="P65" s="17" t="s">
        <v>63</v>
      </c>
      <c r="Q65" s="17" t="s">
        <v>64</v>
      </c>
    </row>
    <row r="66" spans="1:17" ht="25.5" customHeight="1">
      <c r="A66" s="38">
        <f t="shared" ref="A66" ca="1" si="20">NOW()</f>
        <v>43373.719981365743</v>
      </c>
      <c r="B66" s="39" t="s">
        <v>254</v>
      </c>
      <c r="C66" s="35" t="str">
        <f>VLOOKUP(B66,工资表,2,1)</f>
        <v>张瑞峰</v>
      </c>
      <c r="D66" s="35" t="str">
        <f>VLOOKUP(B66,工资表,3,1)</f>
        <v>销售部</v>
      </c>
      <c r="E66" s="35" t="str">
        <f>VLOOKUP(B66,工资表,4,1)</f>
        <v>业务员</v>
      </c>
      <c r="F66" s="35">
        <f>VLOOKUP(B66,工资表,5,1)</f>
        <v>3000</v>
      </c>
      <c r="G66" s="35">
        <f>VLOOKUP(B66,工资表,6,1)</f>
        <v>200</v>
      </c>
      <c r="H66" s="35">
        <f>VLOOKUP(B66,工资表,7,1)</f>
        <v>100</v>
      </c>
      <c r="I66" s="35">
        <f>VLOOKUP(B66,工资表,8,1)</f>
        <v>40</v>
      </c>
      <c r="J66" s="35">
        <f>VLOOKUP(B66,工资表,9,1)</f>
        <v>10</v>
      </c>
      <c r="K66" s="35">
        <f>VLOOKUP(B66,工资表,10,1)</f>
        <v>3330</v>
      </c>
      <c r="L66" s="35">
        <f>VLOOKUP(B66,工资表,11,1)</f>
        <v>266.39999999999998</v>
      </c>
      <c r="M66" s="35">
        <f>VLOOKUP(B66,工资表,12,1)</f>
        <v>66.599999999999994</v>
      </c>
      <c r="N66" s="35">
        <f>VLOOKUP(B66,工资表,13,1)</f>
        <v>399.59999999999997</v>
      </c>
      <c r="O66" s="35">
        <f>VLOOKUP(B66,工资表,14,1)</f>
        <v>2597.4</v>
      </c>
      <c r="P66" s="35">
        <f>VLOOKUP(B66,工资表,15,1)</f>
        <v>0</v>
      </c>
      <c r="Q66" s="35">
        <f>VLOOKUP(B66,工资表,16,1)</f>
        <v>2597.4</v>
      </c>
    </row>
    <row r="67" spans="1:17" ht="25.5" customHeight="1">
      <c r="A67" s="58" t="s">
        <v>215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</row>
    <row r="68" spans="1:17" ht="25.5" customHeight="1">
      <c r="A68" s="17" t="s">
        <v>214</v>
      </c>
      <c r="B68" s="17" t="s">
        <v>1</v>
      </c>
      <c r="C68" s="17" t="s">
        <v>2</v>
      </c>
      <c r="D68" s="17" t="s">
        <v>5</v>
      </c>
      <c r="E68" s="17" t="s">
        <v>229</v>
      </c>
      <c r="F68" s="17" t="s">
        <v>7</v>
      </c>
      <c r="G68" s="17" t="s">
        <v>58</v>
      </c>
      <c r="H68" s="17" t="s">
        <v>59</v>
      </c>
      <c r="I68" s="17" t="s">
        <v>60</v>
      </c>
      <c r="J68" s="17" t="s">
        <v>62</v>
      </c>
      <c r="K68" s="17" t="s">
        <v>61</v>
      </c>
      <c r="L68" s="35" t="s">
        <v>210</v>
      </c>
      <c r="M68" s="35" t="s">
        <v>211</v>
      </c>
      <c r="N68" s="17" t="s">
        <v>213</v>
      </c>
      <c r="O68" s="36" t="s">
        <v>212</v>
      </c>
      <c r="P68" s="17" t="s">
        <v>63</v>
      </c>
      <c r="Q68" s="17" t="s">
        <v>64</v>
      </c>
    </row>
    <row r="69" spans="1:17" ht="25.5" customHeight="1">
      <c r="A69" s="38">
        <f t="shared" ref="A69" ca="1" si="21">NOW()</f>
        <v>43373.719981365743</v>
      </c>
      <c r="B69" s="39" t="s">
        <v>255</v>
      </c>
      <c r="C69" s="35" t="str">
        <f>VLOOKUP(B69,工资表,2,1)</f>
        <v>张瑞峰</v>
      </c>
      <c r="D69" s="35" t="str">
        <f>VLOOKUP(B69,工资表,3,1)</f>
        <v>销售部</v>
      </c>
      <c r="E69" s="35" t="str">
        <f>VLOOKUP(B69,工资表,4,1)</f>
        <v>业务员</v>
      </c>
      <c r="F69" s="35">
        <f>VLOOKUP(B69,工资表,5,1)</f>
        <v>3000</v>
      </c>
      <c r="G69" s="35">
        <f>VLOOKUP(B69,工资表,6,1)</f>
        <v>200</v>
      </c>
      <c r="H69" s="35">
        <f>VLOOKUP(B69,工资表,7,1)</f>
        <v>100</v>
      </c>
      <c r="I69" s="35">
        <f>VLOOKUP(B69,工资表,8,1)</f>
        <v>40</v>
      </c>
      <c r="J69" s="35">
        <f>VLOOKUP(B69,工资表,9,1)</f>
        <v>10</v>
      </c>
      <c r="K69" s="35">
        <f>VLOOKUP(B69,工资表,10,1)</f>
        <v>3330</v>
      </c>
      <c r="L69" s="35">
        <f>VLOOKUP(B69,工资表,11,1)</f>
        <v>266.39999999999998</v>
      </c>
      <c r="M69" s="35">
        <f>VLOOKUP(B69,工资表,12,1)</f>
        <v>66.599999999999994</v>
      </c>
      <c r="N69" s="35">
        <f>VLOOKUP(B69,工资表,13,1)</f>
        <v>399.59999999999997</v>
      </c>
      <c r="O69" s="35">
        <f>VLOOKUP(B69,工资表,14,1)</f>
        <v>2597.4</v>
      </c>
      <c r="P69" s="35">
        <f>VLOOKUP(B69,工资表,15,1)</f>
        <v>0</v>
      </c>
      <c r="Q69" s="35">
        <f>VLOOKUP(B69,工资表,16,1)</f>
        <v>2597.4</v>
      </c>
    </row>
  </sheetData>
  <mergeCells count="23">
    <mergeCell ref="A1:Q1"/>
    <mergeCell ref="A4:Q4"/>
    <mergeCell ref="A7:Q7"/>
    <mergeCell ref="A10:Q10"/>
    <mergeCell ref="A13:Q13"/>
    <mergeCell ref="A16:Q16"/>
    <mergeCell ref="A19:Q19"/>
    <mergeCell ref="A22:Q22"/>
    <mergeCell ref="A25:Q25"/>
    <mergeCell ref="A28:Q28"/>
    <mergeCell ref="A31:Q31"/>
    <mergeCell ref="A34:Q34"/>
    <mergeCell ref="A37:Q37"/>
    <mergeCell ref="A40:Q40"/>
    <mergeCell ref="A43:Q43"/>
    <mergeCell ref="A46:Q46"/>
    <mergeCell ref="A64:Q64"/>
    <mergeCell ref="A67:Q67"/>
    <mergeCell ref="A49:Q49"/>
    <mergeCell ref="A52:Q52"/>
    <mergeCell ref="A55:Q55"/>
    <mergeCell ref="A58:Q58"/>
    <mergeCell ref="A61:Q61"/>
  </mergeCells>
  <phoneticPr fontId="1" type="noConversion"/>
  <dataValidations count="1">
    <dataValidation type="list" allowBlank="1" showInputMessage="1" showErrorMessage="1" sqref="D2 D5 D8 D11 D14 D17 D20 D23 D26 D29 D32 D35 D38 D41 D44 D47 D50 D53 D56 D59 D62 D65 D68">
      <formula1>"企划部,财务部,销售部,生产部"</formula1>
    </dataValidation>
  </dataValidations>
  <pageMargins left="0.7" right="0.5600000000000000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11</vt:i4>
      </vt:variant>
    </vt:vector>
  </HeadingPairs>
  <TitlesOfParts>
    <vt:vector size="26" baseType="lpstr">
      <vt:lpstr>基本情况表</vt:lpstr>
      <vt:lpstr>部门统计</vt:lpstr>
      <vt:lpstr>年假规则表</vt:lpstr>
      <vt:lpstr>工资调整</vt:lpstr>
      <vt:lpstr>Sheet2</vt:lpstr>
      <vt:lpstr>Sheet1</vt:lpstr>
      <vt:lpstr>加班记录</vt:lpstr>
      <vt:lpstr>加班记录汇总</vt:lpstr>
      <vt:lpstr>请假记录</vt:lpstr>
      <vt:lpstr>个人所得税税率表</vt:lpstr>
      <vt:lpstr>透视表</vt:lpstr>
      <vt:lpstr>Sheet3</vt:lpstr>
      <vt:lpstr>工资明细表</vt:lpstr>
      <vt:lpstr>Sheet4</vt:lpstr>
      <vt:lpstr>工资条</vt:lpstr>
      <vt:lpstr>财务部</vt:lpstr>
      <vt:lpstr>财务部1</vt:lpstr>
      <vt:lpstr>个税税率表</vt:lpstr>
      <vt:lpstr>工资表</vt:lpstr>
      <vt:lpstr>加班记录</vt:lpstr>
      <vt:lpstr>加班记录汇总</vt:lpstr>
      <vt:lpstr>企划部</vt:lpstr>
      <vt:lpstr>缺勤总扣款</vt:lpstr>
      <vt:lpstr>生产部</vt:lpstr>
      <vt:lpstr>销售部</vt:lpstr>
      <vt:lpstr>员工编号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2018-09-30T09:29:21Z</dcterms:modified>
</cp:coreProperties>
</file>