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68" yWindow="468" windowWidth="23256" windowHeight="13176" tabRatio="784"/>
  </bookViews>
  <sheets>
    <sheet name="基础数据" sheetId="1" r:id="rId1"/>
    <sheet name="销售预算" sheetId="2" r:id="rId2"/>
    <sheet name="生产预算" sheetId="3" r:id="rId3"/>
    <sheet name="直接材料预算表" sheetId="4" r:id="rId4"/>
    <sheet name="直接人工预算表" sheetId="7" r:id="rId5"/>
    <sheet name="制造费用预算表" sheetId="8" r:id="rId6"/>
    <sheet name="生产成本预算表" sheetId="9" r:id="rId7"/>
    <sheet name="销售成本预算表" sheetId="10" r:id="rId8"/>
    <sheet name="管理费用预算" sheetId="11" r:id="rId9"/>
    <sheet name="销售费用预算" sheetId="15" r:id="rId10"/>
    <sheet name="资本支出预算表" sheetId="19" r:id="rId11"/>
    <sheet name="利润草算表" sheetId="20" r:id="rId12"/>
    <sheet name="现金收支草算表" sheetId="14" r:id="rId13"/>
    <sheet name="利润预算表" sheetId="16" r:id="rId14"/>
    <sheet name="现金收支预算表" sheetId="17" r:id="rId15"/>
    <sheet name="资产负债预算表" sheetId="18" r:id="rId16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7"/>
  <c r="F6"/>
  <c r="B6"/>
  <c r="C6" i="14"/>
  <c r="C15" s="1"/>
  <c r="D24" i="18"/>
  <c r="E24"/>
  <c r="F24"/>
  <c r="C24"/>
  <c r="D23"/>
  <c r="E23"/>
  <c r="F23"/>
  <c r="C23"/>
  <c r="D22"/>
  <c r="E22"/>
  <c r="F22" s="1"/>
  <c r="C22"/>
  <c r="D21"/>
  <c r="E21"/>
  <c r="F21"/>
  <c r="C21"/>
  <c r="D20"/>
  <c r="E20"/>
  <c r="F20"/>
  <c r="C20"/>
  <c r="D19"/>
  <c r="E19"/>
  <c r="F19"/>
  <c r="C19"/>
  <c r="E16"/>
  <c r="F16" s="1"/>
  <c r="D18"/>
  <c r="E18"/>
  <c r="F18"/>
  <c r="C18"/>
  <c r="D17"/>
  <c r="E17"/>
  <c r="F17"/>
  <c r="C17"/>
  <c r="D16"/>
  <c r="C16"/>
  <c r="D13"/>
  <c r="E13"/>
  <c r="F13"/>
  <c r="C13"/>
  <c r="D12"/>
  <c r="E12"/>
  <c r="F12"/>
  <c r="C12"/>
  <c r="D11"/>
  <c r="E11"/>
  <c r="F11"/>
  <c r="C11"/>
  <c r="B12"/>
  <c r="B13"/>
  <c r="D10"/>
  <c r="E10"/>
  <c r="F10" s="1"/>
  <c r="C10"/>
  <c r="C9"/>
  <c r="D9"/>
  <c r="E9"/>
  <c r="F9"/>
  <c r="B9"/>
  <c r="D7"/>
  <c r="E7"/>
  <c r="F7"/>
  <c r="C7"/>
  <c r="D6"/>
  <c r="E6"/>
  <c r="F6"/>
  <c r="C6"/>
  <c r="B23"/>
  <c r="B24"/>
  <c r="B21"/>
  <c r="B22"/>
  <c r="B17"/>
  <c r="B18"/>
  <c r="B19"/>
  <c r="B20"/>
  <c r="B16"/>
  <c r="B14"/>
  <c r="B6"/>
  <c r="B7"/>
  <c r="B8"/>
  <c r="B10"/>
  <c r="B5"/>
  <c r="F16" i="17"/>
  <c r="B16"/>
  <c r="F15" i="14"/>
  <c r="F6"/>
  <c r="B6"/>
  <c r="B15"/>
  <c r="F3" i="17"/>
  <c r="C14"/>
  <c r="D14"/>
  <c r="E14"/>
  <c r="F14"/>
  <c r="C13"/>
  <c r="C5"/>
  <c r="D5"/>
  <c r="E5"/>
  <c r="F5"/>
  <c r="C7"/>
  <c r="D7"/>
  <c r="E7"/>
  <c r="F7"/>
  <c r="C8"/>
  <c r="D8"/>
  <c r="E8"/>
  <c r="F8"/>
  <c r="C9"/>
  <c r="D9"/>
  <c r="E9"/>
  <c r="F9"/>
  <c r="C10"/>
  <c r="D10"/>
  <c r="E10"/>
  <c r="F10"/>
  <c r="C11"/>
  <c r="D11"/>
  <c r="E11"/>
  <c r="F11"/>
  <c r="C4"/>
  <c r="D4"/>
  <c r="E4"/>
  <c r="F4"/>
  <c r="C20"/>
  <c r="D20"/>
  <c r="E20"/>
  <c r="C19"/>
  <c r="D19"/>
  <c r="B19"/>
  <c r="C17"/>
  <c r="D17"/>
  <c r="E17"/>
  <c r="F17"/>
  <c r="B17"/>
  <c r="B15"/>
  <c r="B14"/>
  <c r="B13"/>
  <c r="B12"/>
  <c r="B4"/>
  <c r="B5"/>
  <c r="B7"/>
  <c r="B8"/>
  <c r="B9"/>
  <c r="B10"/>
  <c r="B11"/>
  <c r="B3"/>
  <c r="B10" i="16"/>
  <c r="B9"/>
  <c r="B8"/>
  <c r="B7"/>
  <c r="C5"/>
  <c r="D5"/>
  <c r="E5"/>
  <c r="F5"/>
  <c r="C6"/>
  <c r="D6"/>
  <c r="E6"/>
  <c r="F6"/>
  <c r="C4"/>
  <c r="D4"/>
  <c r="E4"/>
  <c r="F4"/>
  <c r="B4"/>
  <c r="B5"/>
  <c r="B6"/>
  <c r="C3"/>
  <c r="D3"/>
  <c r="E3"/>
  <c r="F3"/>
  <c r="B3"/>
  <c r="F16" i="14"/>
  <c r="F14"/>
  <c r="F5"/>
  <c r="F7"/>
  <c r="F8"/>
  <c r="F9"/>
  <c r="F10"/>
  <c r="F11"/>
  <c r="F12"/>
  <c r="F13"/>
  <c r="F4"/>
  <c r="F3"/>
  <c r="B19"/>
  <c r="C18"/>
  <c r="B18"/>
  <c r="B3"/>
  <c r="C16"/>
  <c r="D16"/>
  <c r="E16"/>
  <c r="B16"/>
  <c r="C14"/>
  <c r="D14"/>
  <c r="E14"/>
  <c r="B14"/>
  <c r="B13"/>
  <c r="D12"/>
  <c r="E12"/>
  <c r="C12"/>
  <c r="B12"/>
  <c r="C11"/>
  <c r="D11"/>
  <c r="E11"/>
  <c r="B11"/>
  <c r="C10"/>
  <c r="D10"/>
  <c r="E10"/>
  <c r="B10"/>
  <c r="C9"/>
  <c r="D9"/>
  <c r="E9"/>
  <c r="B9"/>
  <c r="C8"/>
  <c r="D8"/>
  <c r="E8"/>
  <c r="B8"/>
  <c r="C7"/>
  <c r="D7"/>
  <c r="E7"/>
  <c r="B7"/>
  <c r="C5"/>
  <c r="D5"/>
  <c r="E5"/>
  <c r="B5"/>
  <c r="C4"/>
  <c r="D4"/>
  <c r="E4"/>
  <c r="B4"/>
  <c r="F8" i="20"/>
  <c r="F9"/>
  <c r="C9"/>
  <c r="D9"/>
  <c r="E9"/>
  <c r="B9"/>
  <c r="C8"/>
  <c r="D8"/>
  <c r="E8"/>
  <c r="B8"/>
  <c r="F6"/>
  <c r="F7"/>
  <c r="C7"/>
  <c r="D7"/>
  <c r="E7"/>
  <c r="B7"/>
  <c r="C6"/>
  <c r="D6"/>
  <c r="E6"/>
  <c r="B6"/>
  <c r="F5"/>
  <c r="C5"/>
  <c r="D5"/>
  <c r="E5"/>
  <c r="B5"/>
  <c r="F4"/>
  <c r="C4"/>
  <c r="D4"/>
  <c r="E4"/>
  <c r="B4"/>
  <c r="F5" i="19"/>
  <c r="B5"/>
  <c r="F4"/>
  <c r="B4"/>
  <c r="C9" i="15"/>
  <c r="D9"/>
  <c r="E9"/>
  <c r="B9"/>
  <c r="F9" s="1"/>
  <c r="F8"/>
  <c r="C8"/>
  <c r="D8"/>
  <c r="E8"/>
  <c r="B8"/>
  <c r="F4"/>
  <c r="C4"/>
  <c r="D4"/>
  <c r="E4"/>
  <c r="B4"/>
  <c r="F7"/>
  <c r="C7"/>
  <c r="D7"/>
  <c r="E7"/>
  <c r="B7"/>
  <c r="F6"/>
  <c r="C6"/>
  <c r="D6"/>
  <c r="E6"/>
  <c r="B6"/>
  <c r="F8" i="11"/>
  <c r="E8"/>
  <c r="C8"/>
  <c r="D8"/>
  <c r="B8"/>
  <c r="F7"/>
  <c r="C7"/>
  <c r="D7"/>
  <c r="E7"/>
  <c r="B7"/>
  <c r="F4"/>
  <c r="F5"/>
  <c r="F6"/>
  <c r="C6"/>
  <c r="D6"/>
  <c r="E6"/>
  <c r="B6"/>
  <c r="C5"/>
  <c r="D5"/>
  <c r="E5"/>
  <c r="B5"/>
  <c r="C4"/>
  <c r="D4"/>
  <c r="E4"/>
  <c r="B4"/>
  <c r="B3"/>
  <c r="F3" s="1"/>
  <c r="C3"/>
  <c r="D3"/>
  <c r="E3"/>
  <c r="G16" i="10"/>
  <c r="G15"/>
  <c r="G14"/>
  <c r="G13"/>
  <c r="G9"/>
  <c r="G7"/>
  <c r="G8"/>
  <c r="G6"/>
  <c r="D16"/>
  <c r="E16"/>
  <c r="F16"/>
  <c r="C16"/>
  <c r="D9"/>
  <c r="E9"/>
  <c r="F9"/>
  <c r="C9"/>
  <c r="D15"/>
  <c r="E15"/>
  <c r="F15"/>
  <c r="C15"/>
  <c r="D8"/>
  <c r="E8"/>
  <c r="F8"/>
  <c r="C8"/>
  <c r="D14"/>
  <c r="E14"/>
  <c r="F14"/>
  <c r="C14"/>
  <c r="D7"/>
  <c r="E7"/>
  <c r="F7"/>
  <c r="C7"/>
  <c r="E13"/>
  <c r="F13"/>
  <c r="D13"/>
  <c r="E6"/>
  <c r="F6"/>
  <c r="D6"/>
  <c r="C13"/>
  <c r="G12"/>
  <c r="G11"/>
  <c r="G10"/>
  <c r="D12"/>
  <c r="E12"/>
  <c r="F12"/>
  <c r="C12"/>
  <c r="D11"/>
  <c r="E11"/>
  <c r="F11"/>
  <c r="C11"/>
  <c r="D10"/>
  <c r="E10"/>
  <c r="F10"/>
  <c r="C10"/>
  <c r="C6"/>
  <c r="G5"/>
  <c r="G4"/>
  <c r="D5"/>
  <c r="E5"/>
  <c r="F5"/>
  <c r="C5"/>
  <c r="D4"/>
  <c r="E4"/>
  <c r="F4"/>
  <c r="C4"/>
  <c r="G3"/>
  <c r="D3"/>
  <c r="E3"/>
  <c r="F3"/>
  <c r="C3"/>
  <c r="D8" i="8"/>
  <c r="E8"/>
  <c r="F8"/>
  <c r="C8"/>
  <c r="D9" i="9"/>
  <c r="E9"/>
  <c r="E11" s="1"/>
  <c r="E12" s="1"/>
  <c r="F9"/>
  <c r="F11" s="1"/>
  <c r="F12" s="1"/>
  <c r="C9"/>
  <c r="C11" s="1"/>
  <c r="C12" s="1"/>
  <c r="D19"/>
  <c r="D21" s="1"/>
  <c r="E19"/>
  <c r="E21" s="1"/>
  <c r="F19"/>
  <c r="F20" s="1"/>
  <c r="C19"/>
  <c r="C21" s="1"/>
  <c r="C22" s="1"/>
  <c r="D20"/>
  <c r="D18"/>
  <c r="E18"/>
  <c r="F18"/>
  <c r="C18"/>
  <c r="G17"/>
  <c r="D17"/>
  <c r="E17"/>
  <c r="F17"/>
  <c r="C17"/>
  <c r="D11"/>
  <c r="D12" s="1"/>
  <c r="D10"/>
  <c r="F10"/>
  <c r="D8"/>
  <c r="E8"/>
  <c r="F8"/>
  <c r="C8"/>
  <c r="G7"/>
  <c r="D7"/>
  <c r="E7"/>
  <c r="F7"/>
  <c r="C7"/>
  <c r="G16"/>
  <c r="D16"/>
  <c r="E16"/>
  <c r="F16"/>
  <c r="C16"/>
  <c r="G6"/>
  <c r="D6"/>
  <c r="E6"/>
  <c r="F6"/>
  <c r="C6"/>
  <c r="G15"/>
  <c r="D15"/>
  <c r="E15"/>
  <c r="F15"/>
  <c r="C15"/>
  <c r="G5"/>
  <c r="D5"/>
  <c r="E5"/>
  <c r="F5"/>
  <c r="C5"/>
  <c r="G14"/>
  <c r="G4"/>
  <c r="D14"/>
  <c r="E14"/>
  <c r="F14"/>
  <c r="C14"/>
  <c r="D4"/>
  <c r="E4"/>
  <c r="F4"/>
  <c r="C4"/>
  <c r="G13"/>
  <c r="G3"/>
  <c r="D3"/>
  <c r="E3"/>
  <c r="F3"/>
  <c r="C3"/>
  <c r="D13"/>
  <c r="E13"/>
  <c r="F13"/>
  <c r="C13"/>
  <c r="G15" i="8"/>
  <c r="G16"/>
  <c r="G17"/>
  <c r="G18"/>
  <c r="D18"/>
  <c r="E18"/>
  <c r="F18"/>
  <c r="C18"/>
  <c r="D17"/>
  <c r="E17"/>
  <c r="F17"/>
  <c r="C17"/>
  <c r="D16"/>
  <c r="E16"/>
  <c r="F16"/>
  <c r="C16"/>
  <c r="D15"/>
  <c r="E15"/>
  <c r="F15"/>
  <c r="C15"/>
  <c r="G14"/>
  <c r="D14"/>
  <c r="E14"/>
  <c r="F14"/>
  <c r="C14"/>
  <c r="G10"/>
  <c r="G11"/>
  <c r="G12"/>
  <c r="G9"/>
  <c r="D12"/>
  <c r="E12"/>
  <c r="F12"/>
  <c r="C12"/>
  <c r="D11"/>
  <c r="E11"/>
  <c r="F11"/>
  <c r="D10"/>
  <c r="E10"/>
  <c r="F10"/>
  <c r="C11"/>
  <c r="C10"/>
  <c r="D9"/>
  <c r="E9"/>
  <c r="F9"/>
  <c r="D13"/>
  <c r="C9"/>
  <c r="E13"/>
  <c r="F13"/>
  <c r="G7"/>
  <c r="D7"/>
  <c r="E7"/>
  <c r="F7"/>
  <c r="C7"/>
  <c r="G4"/>
  <c r="G5"/>
  <c r="G6"/>
  <c r="D6"/>
  <c r="E6"/>
  <c r="F6"/>
  <c r="C6"/>
  <c r="D5"/>
  <c r="E5"/>
  <c r="F5"/>
  <c r="C5"/>
  <c r="D4"/>
  <c r="E4"/>
  <c r="F4"/>
  <c r="C4"/>
  <c r="G3"/>
  <c r="D3"/>
  <c r="E3"/>
  <c r="F3"/>
  <c r="C3"/>
  <c r="G11" i="7"/>
  <c r="D11"/>
  <c r="E11"/>
  <c r="F11"/>
  <c r="C11"/>
  <c r="D10"/>
  <c r="E10"/>
  <c r="F10"/>
  <c r="C10"/>
  <c r="G9"/>
  <c r="G8"/>
  <c r="G5"/>
  <c r="D9"/>
  <c r="E9"/>
  <c r="F9"/>
  <c r="C9"/>
  <c r="D8"/>
  <c r="E8"/>
  <c r="F8"/>
  <c r="C8"/>
  <c r="D7"/>
  <c r="E7"/>
  <c r="F7"/>
  <c r="C7"/>
  <c r="D5"/>
  <c r="E5"/>
  <c r="F5"/>
  <c r="C5"/>
  <c r="D4"/>
  <c r="E4"/>
  <c r="F4"/>
  <c r="C4"/>
  <c r="G6"/>
  <c r="G3"/>
  <c r="D6"/>
  <c r="E6"/>
  <c r="F6"/>
  <c r="C6"/>
  <c r="D3"/>
  <c r="E3"/>
  <c r="F3"/>
  <c r="C3"/>
  <c r="G28" i="4"/>
  <c r="G27"/>
  <c r="G26"/>
  <c r="G25"/>
  <c r="G16"/>
  <c r="G17"/>
  <c r="G15"/>
  <c r="G13"/>
  <c r="G14"/>
  <c r="G12"/>
  <c r="G7"/>
  <c r="G8"/>
  <c r="G9"/>
  <c r="G10"/>
  <c r="G11"/>
  <c r="G18"/>
  <c r="G19"/>
  <c r="G20"/>
  <c r="G21"/>
  <c r="G22"/>
  <c r="G23"/>
  <c r="G24"/>
  <c r="G4"/>
  <c r="G5"/>
  <c r="D28"/>
  <c r="E28"/>
  <c r="F28"/>
  <c r="C28"/>
  <c r="D27"/>
  <c r="E27"/>
  <c r="F27"/>
  <c r="C27"/>
  <c r="E26"/>
  <c r="F26"/>
  <c r="D26"/>
  <c r="C26"/>
  <c r="D25"/>
  <c r="E25"/>
  <c r="F25"/>
  <c r="C25"/>
  <c r="D24"/>
  <c r="E24"/>
  <c r="F24"/>
  <c r="C24"/>
  <c r="D23"/>
  <c r="E23"/>
  <c r="F23"/>
  <c r="D22"/>
  <c r="E22"/>
  <c r="F22"/>
  <c r="D21"/>
  <c r="E21"/>
  <c r="F21"/>
  <c r="C23"/>
  <c r="C22"/>
  <c r="C21"/>
  <c r="D18"/>
  <c r="E18"/>
  <c r="F18"/>
  <c r="D19"/>
  <c r="E19"/>
  <c r="F19"/>
  <c r="D20"/>
  <c r="E20"/>
  <c r="F20"/>
  <c r="C19"/>
  <c r="C20"/>
  <c r="C18"/>
  <c r="E15"/>
  <c r="F15"/>
  <c r="E16"/>
  <c r="F16"/>
  <c r="E17"/>
  <c r="F17"/>
  <c r="D16"/>
  <c r="D17"/>
  <c r="D15"/>
  <c r="C17"/>
  <c r="C16"/>
  <c r="C15"/>
  <c r="D6"/>
  <c r="E6"/>
  <c r="E7" s="1"/>
  <c r="F6"/>
  <c r="F7" s="1"/>
  <c r="C6"/>
  <c r="D13"/>
  <c r="E13"/>
  <c r="F13"/>
  <c r="C13"/>
  <c r="D8"/>
  <c r="D11" s="1"/>
  <c r="D14" s="1"/>
  <c r="E8"/>
  <c r="D7"/>
  <c r="D5"/>
  <c r="D10" s="1"/>
  <c r="E5"/>
  <c r="F5"/>
  <c r="C5"/>
  <c r="C10" s="1"/>
  <c r="D4"/>
  <c r="D9" s="1"/>
  <c r="D12" s="1"/>
  <c r="E4"/>
  <c r="F4"/>
  <c r="C4"/>
  <c r="E11"/>
  <c r="E14" s="1"/>
  <c r="E10"/>
  <c r="F10"/>
  <c r="G3"/>
  <c r="D3"/>
  <c r="E3"/>
  <c r="F3"/>
  <c r="C3"/>
  <c r="G9" i="3"/>
  <c r="G8"/>
  <c r="G5"/>
  <c r="G4"/>
  <c r="G10"/>
  <c r="D10"/>
  <c r="E10"/>
  <c r="F10"/>
  <c r="C10"/>
  <c r="E9"/>
  <c r="F9"/>
  <c r="D9"/>
  <c r="C9"/>
  <c r="D8"/>
  <c r="E8"/>
  <c r="F8"/>
  <c r="C8"/>
  <c r="G7"/>
  <c r="D4"/>
  <c r="E4"/>
  <c r="F5" s="1"/>
  <c r="F4"/>
  <c r="C4"/>
  <c r="D5" s="1"/>
  <c r="D7"/>
  <c r="E7"/>
  <c r="F7"/>
  <c r="C7"/>
  <c r="C5"/>
  <c r="G3"/>
  <c r="D3"/>
  <c r="E3"/>
  <c r="F3"/>
  <c r="C3"/>
  <c r="E14" i="2"/>
  <c r="F14"/>
  <c r="G14"/>
  <c r="D14"/>
  <c r="D13"/>
  <c r="C16" i="17" l="1"/>
  <c r="B18"/>
  <c r="B17" i="14"/>
  <c r="E10" i="9"/>
  <c r="G12"/>
  <c r="C10"/>
  <c r="F21"/>
  <c r="F22" s="1"/>
  <c r="E22"/>
  <c r="D22"/>
  <c r="E20"/>
  <c r="C20"/>
  <c r="C13" i="8"/>
  <c r="F8" i="4"/>
  <c r="F11" s="1"/>
  <c r="F14" s="1"/>
  <c r="E9"/>
  <c r="E12" s="1"/>
  <c r="F9"/>
  <c r="F12" s="1"/>
  <c r="G6"/>
  <c r="C7"/>
  <c r="C9" s="1"/>
  <c r="C12" s="1"/>
  <c r="C8"/>
  <c r="C11" s="1"/>
  <c r="C14" s="1"/>
  <c r="F6" i="3"/>
  <c r="E5"/>
  <c r="E6" s="1"/>
  <c r="D6"/>
  <c r="C6"/>
  <c r="H14" i="2"/>
  <c r="B20" i="14" l="1"/>
  <c r="G22" i="9"/>
  <c r="G6" i="3"/>
  <c r="B20" i="17" l="1"/>
  <c r="B21" s="1"/>
  <c r="E18" i="14"/>
  <c r="F20"/>
  <c r="D19"/>
  <c r="C19"/>
  <c r="B21"/>
  <c r="C3" s="1"/>
  <c r="B22"/>
  <c r="C3" i="17" l="1"/>
  <c r="C5" i="18"/>
  <c r="C8" s="1"/>
  <c r="C14" s="1"/>
  <c r="E19" i="17"/>
  <c r="F18" i="14"/>
  <c r="F19" i="17" s="1"/>
  <c r="F20"/>
  <c r="D7" i="16"/>
  <c r="D8" s="1"/>
  <c r="D12" i="17"/>
  <c r="E19" i="14"/>
  <c r="C12" i="17"/>
  <c r="C15" s="1"/>
  <c r="C7" i="16"/>
  <c r="C8" s="1"/>
  <c r="C17" i="14"/>
  <c r="C22" s="1"/>
  <c r="C21"/>
  <c r="D3" s="1"/>
  <c r="D15" l="1"/>
  <c r="D17" s="1"/>
  <c r="D22" s="1"/>
  <c r="D6"/>
  <c r="C18" i="17"/>
  <c r="C21"/>
  <c r="D9" i="16"/>
  <c r="E13" i="17" s="1"/>
  <c r="E12"/>
  <c r="E7" i="16"/>
  <c r="E8" s="1"/>
  <c r="C9"/>
  <c r="D13" i="17" s="1"/>
  <c r="F19" i="14"/>
  <c r="D21" l="1"/>
  <c r="E3" s="1"/>
  <c r="D3" i="17"/>
  <c r="D6" s="1"/>
  <c r="D16" s="1"/>
  <c r="D5" i="18"/>
  <c r="D8" s="1"/>
  <c r="D14" s="1"/>
  <c r="F13" i="17"/>
  <c r="D15"/>
  <c r="E15"/>
  <c r="E9" i="16"/>
  <c r="E10" s="1"/>
  <c r="F7"/>
  <c r="F8" s="1"/>
  <c r="F12" i="17"/>
  <c r="D10" i="16"/>
  <c r="C10"/>
  <c r="E6" i="14" l="1"/>
  <c r="D21" i="17"/>
  <c r="F15"/>
  <c r="F9" i="16"/>
  <c r="F10" s="1"/>
  <c r="E16" i="17" l="1"/>
  <c r="E21" s="1"/>
  <c r="F5" i="18" s="1"/>
  <c r="F8" s="1"/>
  <c r="F14" s="1"/>
  <c r="E3" i="17"/>
  <c r="E6" s="1"/>
  <c r="E5" i="18"/>
  <c r="E8" s="1"/>
  <c r="E14" s="1"/>
  <c r="E15" i="14"/>
  <c r="D18" i="17"/>
  <c r="E18" l="1"/>
  <c r="E21" i="14"/>
  <c r="E17"/>
  <c r="E22" s="1"/>
  <c r="F21" i="17"/>
  <c r="F18"/>
  <c r="F17" i="14"/>
  <c r="F22" s="1"/>
  <c r="F21"/>
  <c r="F13" i="2" l="1"/>
  <c r="G13"/>
  <c r="E13"/>
  <c r="E12"/>
  <c r="F12"/>
  <c r="G12"/>
  <c r="D12"/>
  <c r="E11"/>
  <c r="F11"/>
  <c r="G11"/>
  <c r="D11"/>
  <c r="E10"/>
  <c r="F10"/>
  <c r="G10"/>
  <c r="H10"/>
  <c r="D10"/>
  <c r="H9"/>
  <c r="H6"/>
  <c r="E9"/>
  <c r="F9"/>
  <c r="G9"/>
  <c r="D9"/>
  <c r="E8"/>
  <c r="F8"/>
  <c r="G8"/>
  <c r="D8"/>
  <c r="H7"/>
  <c r="E7"/>
  <c r="F7"/>
  <c r="G7"/>
  <c r="D7"/>
  <c r="E6"/>
  <c r="F6"/>
  <c r="G6"/>
  <c r="D6"/>
  <c r="H4"/>
  <c r="E5"/>
  <c r="F5"/>
  <c r="G5"/>
  <c r="D5"/>
  <c r="E4"/>
  <c r="F4"/>
  <c r="G4"/>
  <c r="D4"/>
  <c r="D26" i="9" l="1"/>
  <c r="E26"/>
  <c r="F26"/>
  <c r="C26"/>
  <c r="B54" i="1"/>
  <c r="D50"/>
  <c r="D51" s="1"/>
  <c r="B50"/>
  <c r="B55" s="1"/>
  <c r="D55" s="1"/>
  <c r="G35"/>
  <c r="E29"/>
  <c r="E27"/>
  <c r="G4"/>
  <c r="G3"/>
  <c r="D53" l="1"/>
  <c r="D54" s="1"/>
  <c r="E28" i="9" l="1"/>
  <c r="C28" l="1"/>
  <c r="E25"/>
  <c r="E27" s="1"/>
  <c r="C25" l="1"/>
  <c r="C27" s="1"/>
  <c r="F28"/>
  <c r="D28" l="1"/>
  <c r="F25"/>
  <c r="F27" s="1"/>
  <c r="D25" l="1"/>
  <c r="D27" s="1"/>
  <c r="G21" i="10" l="1"/>
  <c r="E24" i="17" l="1"/>
</calcChain>
</file>

<file path=xl/sharedStrings.xml><?xml version="1.0" encoding="utf-8"?>
<sst xmlns="http://schemas.openxmlformats.org/spreadsheetml/2006/main" count="429" uniqueCount="246">
  <si>
    <t>产品类型</t>
  </si>
  <si>
    <t>单价</t>
  </si>
  <si>
    <t>第一季度</t>
  </si>
  <si>
    <t>第二季度</t>
  </si>
  <si>
    <t>第三季度</t>
  </si>
  <si>
    <t>第四季度</t>
  </si>
  <si>
    <t>全年</t>
    <phoneticPr fontId="3" type="noConversion"/>
  </si>
  <si>
    <t>收款政策：</t>
    <phoneticPr fontId="3" type="noConversion"/>
  </si>
  <si>
    <t>当期收款</t>
    <phoneticPr fontId="3" type="noConversion"/>
  </si>
  <si>
    <t>余款下季度收回</t>
    <phoneticPr fontId="3" type="noConversion"/>
  </si>
  <si>
    <t>单位成本：</t>
    <phoneticPr fontId="3" type="noConversion"/>
  </si>
  <si>
    <t>每季度末存货量：</t>
    <phoneticPr fontId="3" type="noConversion"/>
  </si>
  <si>
    <t>本季度销量</t>
    <phoneticPr fontId="3" type="noConversion"/>
  </si>
  <si>
    <t>原材料</t>
    <phoneticPr fontId="3" type="noConversion"/>
  </si>
  <si>
    <t>期初原材料数量：</t>
    <phoneticPr fontId="3" type="noConversion"/>
  </si>
  <si>
    <t>每季度末材料量：</t>
    <phoneticPr fontId="3" type="noConversion"/>
  </si>
  <si>
    <t>本季度使用量</t>
    <phoneticPr fontId="3" type="noConversion"/>
  </si>
  <si>
    <t>采购政策：</t>
    <phoneticPr fontId="3" type="noConversion"/>
  </si>
  <si>
    <t>当期支付</t>
    <phoneticPr fontId="3" type="noConversion"/>
  </si>
  <si>
    <t>余款下季度支付</t>
    <phoneticPr fontId="3" type="noConversion"/>
  </si>
  <si>
    <r>
      <t>本年第四季度采购额为</t>
    </r>
    <r>
      <rPr>
        <sz val="10.5"/>
        <rFont val="Times New Roman"/>
        <family val="1"/>
      </rPr>
      <t/>
    </r>
    <phoneticPr fontId="3" type="noConversion"/>
  </si>
  <si>
    <t>成本数据</t>
    <phoneticPr fontId="3" type="noConversion"/>
  </si>
  <si>
    <t>材料单耗</t>
    <phoneticPr fontId="3" type="noConversion"/>
  </si>
  <si>
    <t>工时单耗</t>
    <phoneticPr fontId="3" type="noConversion"/>
  </si>
  <si>
    <t>数量</t>
    <phoneticPr fontId="3" type="noConversion"/>
  </si>
  <si>
    <t>单价</t>
    <phoneticPr fontId="3" type="noConversion"/>
  </si>
  <si>
    <t>制造费用：</t>
    <phoneticPr fontId="3" type="noConversion"/>
  </si>
  <si>
    <t>变动制造费（工时）</t>
    <phoneticPr fontId="3" type="noConversion"/>
  </si>
  <si>
    <t>间接材料</t>
    <phoneticPr fontId="3" type="noConversion"/>
  </si>
  <si>
    <t>间接人工</t>
    <phoneticPr fontId="3" type="noConversion"/>
  </si>
  <si>
    <t>水电维修费用</t>
    <phoneticPr fontId="3" type="noConversion"/>
  </si>
  <si>
    <t>合计</t>
    <phoneticPr fontId="3" type="noConversion"/>
  </si>
  <si>
    <t>金额</t>
    <phoneticPr fontId="3" type="noConversion"/>
  </si>
  <si>
    <t>固定制造费（年）</t>
    <phoneticPr fontId="3" type="noConversion"/>
  </si>
  <si>
    <t>折旧费</t>
    <phoneticPr fontId="3" type="noConversion"/>
  </si>
  <si>
    <t>工资费用</t>
    <phoneticPr fontId="3" type="noConversion"/>
  </si>
  <si>
    <t>其他杂项</t>
    <phoneticPr fontId="3" type="noConversion"/>
  </si>
  <si>
    <t>变动销售费用：</t>
    <phoneticPr fontId="3" type="noConversion"/>
  </si>
  <si>
    <t>管理人员工资</t>
    <phoneticPr fontId="3" type="noConversion"/>
  </si>
  <si>
    <t>固定销售费用：</t>
    <phoneticPr fontId="3" type="noConversion"/>
  </si>
  <si>
    <t>广告费</t>
    <phoneticPr fontId="3" type="noConversion"/>
  </si>
  <si>
    <t>管理费用（年）</t>
    <phoneticPr fontId="3" type="noConversion"/>
  </si>
  <si>
    <t>工资</t>
    <phoneticPr fontId="3" type="noConversion"/>
  </si>
  <si>
    <t>办公用品支出</t>
    <phoneticPr fontId="3" type="noConversion"/>
  </si>
  <si>
    <t>杂费</t>
    <phoneticPr fontId="3" type="noConversion"/>
  </si>
  <si>
    <t>借款利息率</t>
    <phoneticPr fontId="3" type="noConversion"/>
  </si>
  <si>
    <t>存款额度</t>
    <phoneticPr fontId="3" type="noConversion"/>
  </si>
  <si>
    <t>短期借款</t>
    <phoneticPr fontId="3" type="noConversion"/>
  </si>
  <si>
    <r>
      <t>1</t>
    </r>
    <r>
      <rPr>
        <sz val="10"/>
        <rFont val="宋体"/>
        <family val="3"/>
        <charset val="134"/>
      </rPr>
      <t>月份支付</t>
    </r>
    <phoneticPr fontId="3" type="noConversion"/>
  </si>
  <si>
    <t>所得税率</t>
    <phoneticPr fontId="3" type="noConversion"/>
  </si>
  <si>
    <t>固定资产支出</t>
    <phoneticPr fontId="2" type="noConversion"/>
  </si>
  <si>
    <t>资产</t>
    <phoneticPr fontId="3" type="noConversion"/>
  </si>
  <si>
    <t>负债与权益</t>
    <phoneticPr fontId="3" type="noConversion"/>
  </si>
  <si>
    <t>项目</t>
  </si>
  <si>
    <t>金额</t>
  </si>
  <si>
    <t>货币资金</t>
    <phoneticPr fontId="3" type="noConversion"/>
  </si>
  <si>
    <t>应收账款</t>
  </si>
  <si>
    <t>应付账款</t>
  </si>
  <si>
    <t>存货</t>
  </si>
  <si>
    <t>应交税费</t>
    <phoneticPr fontId="3" type="noConversion"/>
  </si>
  <si>
    <t>流动资产合计</t>
    <phoneticPr fontId="3" type="noConversion"/>
  </si>
  <si>
    <t>流动负债合计</t>
    <phoneticPr fontId="3" type="noConversion"/>
  </si>
  <si>
    <t>长期股权投资</t>
    <phoneticPr fontId="3" type="noConversion"/>
  </si>
  <si>
    <t>负债合计</t>
    <phoneticPr fontId="3" type="noConversion"/>
  </si>
  <si>
    <t>固定资产</t>
  </si>
  <si>
    <t>实收资本</t>
    <phoneticPr fontId="3" type="noConversion"/>
  </si>
  <si>
    <t>其他资产</t>
  </si>
  <si>
    <t>留存收益</t>
  </si>
  <si>
    <t>长期资产合计</t>
  </si>
  <si>
    <t>所有者权益合计</t>
    <phoneticPr fontId="3" type="noConversion"/>
  </si>
  <si>
    <t>资产总额</t>
  </si>
  <si>
    <t>负债与所有者权益合计</t>
    <phoneticPr fontId="3" type="noConversion"/>
  </si>
  <si>
    <t>表3-12 销售预算准备表</t>
    <phoneticPr fontId="2" type="noConversion"/>
  </si>
  <si>
    <t>表3-18      资本支出预算准备表</t>
    <phoneticPr fontId="2" type="noConversion"/>
  </si>
  <si>
    <t>表3-16                                                             期间费用预算准备表</t>
    <phoneticPr fontId="2" type="noConversion"/>
  </si>
  <si>
    <t>表3-15                                        制造费用预算准备表</t>
    <phoneticPr fontId="2" type="noConversion"/>
  </si>
  <si>
    <t>表3-14                            直接材料和直接人工预算准备表</t>
    <phoneticPr fontId="2" type="noConversion"/>
  </si>
  <si>
    <t>表3-13                                  采购预算准备表</t>
    <phoneticPr fontId="2" type="noConversion"/>
  </si>
  <si>
    <t>表3-17                        借贷情况表</t>
    <phoneticPr fontId="2" type="noConversion"/>
  </si>
  <si>
    <t>2020年末预计资产负债表</t>
    <phoneticPr fontId="2" type="noConversion"/>
  </si>
  <si>
    <t>项目</t>
    <phoneticPr fontId="3" type="noConversion"/>
  </si>
  <si>
    <t>产品</t>
  </si>
  <si>
    <t>销售预算</t>
    <phoneticPr fontId="3" type="noConversion"/>
  </si>
  <si>
    <t>销售量</t>
    <phoneticPr fontId="3" type="noConversion"/>
  </si>
  <si>
    <t>销售额</t>
    <phoneticPr fontId="3" type="noConversion"/>
  </si>
  <si>
    <t>现金收回</t>
    <phoneticPr fontId="3" type="noConversion"/>
  </si>
  <si>
    <t>当期收现</t>
    <phoneticPr fontId="3" type="noConversion"/>
  </si>
  <si>
    <t>期末应收</t>
    <phoneticPr fontId="3" type="noConversion"/>
  </si>
  <si>
    <t>收回上期</t>
    <phoneticPr fontId="3" type="noConversion"/>
  </si>
  <si>
    <t>收现合计</t>
    <phoneticPr fontId="3" type="noConversion"/>
  </si>
  <si>
    <t>第一季度</t>
    <phoneticPr fontId="3" type="noConversion"/>
  </si>
  <si>
    <t>第二季度</t>
    <phoneticPr fontId="3" type="noConversion"/>
  </si>
  <si>
    <t>第三季度</t>
    <phoneticPr fontId="3" type="noConversion"/>
  </si>
  <si>
    <t>第四季度</t>
    <phoneticPr fontId="3" type="noConversion"/>
  </si>
  <si>
    <t>全年合计</t>
    <phoneticPr fontId="3" type="noConversion"/>
  </si>
  <si>
    <t>预计销售量</t>
  </si>
  <si>
    <t>加：期末存量</t>
  </si>
  <si>
    <t>减：期初存量</t>
  </si>
  <si>
    <t>预计生产量</t>
  </si>
  <si>
    <t>产量（件）</t>
    <phoneticPr fontId="3" type="noConversion"/>
  </si>
  <si>
    <t>消耗材料（千克）：</t>
    <phoneticPr fontId="3" type="noConversion"/>
  </si>
  <si>
    <t>消耗材料合计（千克）</t>
    <phoneticPr fontId="3" type="noConversion"/>
  </si>
  <si>
    <t>计划期末存量（千克）</t>
    <phoneticPr fontId="3" type="noConversion"/>
  </si>
  <si>
    <t>减：期初存量（千克）</t>
    <phoneticPr fontId="3" type="noConversion"/>
  </si>
  <si>
    <t>计划采购量（千克）</t>
    <phoneticPr fontId="3" type="noConversion"/>
  </si>
  <si>
    <t>计划采购总额（元）</t>
    <phoneticPr fontId="3" type="noConversion"/>
  </si>
  <si>
    <t>当期支付当期款项</t>
    <phoneticPr fontId="3" type="noConversion"/>
  </si>
  <si>
    <t>当期支付上期款项</t>
    <phoneticPr fontId="3" type="noConversion"/>
  </si>
  <si>
    <t>当期支付款项合计</t>
    <phoneticPr fontId="3" type="noConversion"/>
  </si>
  <si>
    <t>当期未支付款项</t>
    <phoneticPr fontId="3" type="noConversion"/>
  </si>
  <si>
    <t>预计产量</t>
  </si>
  <si>
    <t>单位产品耗用直接人工工时</t>
    <phoneticPr fontId="3" type="noConversion"/>
  </si>
  <si>
    <t>工时小计</t>
  </si>
  <si>
    <t>单位产品耗用直接人工工时</t>
  </si>
  <si>
    <t>工时合计</t>
  </si>
  <si>
    <t>每小时工资率</t>
  </si>
  <si>
    <t>人工成本合计</t>
  </si>
  <si>
    <t>制造费用项目</t>
  </si>
  <si>
    <t>变动制造费用</t>
  </si>
  <si>
    <t>直接人工工时</t>
  </si>
  <si>
    <t>间接人工</t>
  </si>
  <si>
    <t>间接材料</t>
  </si>
  <si>
    <t>水电、维修费用</t>
  </si>
  <si>
    <t>合计</t>
  </si>
  <si>
    <t>变动制造费用分配率</t>
    <phoneticPr fontId="3" type="noConversion"/>
  </si>
  <si>
    <t>固定制造费用</t>
  </si>
  <si>
    <t>折旧费</t>
  </si>
  <si>
    <t>其他杂项</t>
  </si>
  <si>
    <t>固定制造费用分配率</t>
    <phoneticPr fontId="3" type="noConversion"/>
  </si>
  <si>
    <t>制造费用合计</t>
  </si>
  <si>
    <t>现金支付</t>
    <phoneticPr fontId="3" type="noConversion"/>
  </si>
  <si>
    <t>变动制造费用</t>
    <phoneticPr fontId="3" type="noConversion"/>
  </si>
  <si>
    <t>现金支出合计</t>
  </si>
  <si>
    <t>计划产量</t>
    <phoneticPr fontId="3" type="noConversion"/>
  </si>
  <si>
    <t>直接材料</t>
  </si>
  <si>
    <t>直接人工</t>
  </si>
  <si>
    <t>变动生产成本</t>
    <phoneticPr fontId="3" type="noConversion"/>
  </si>
  <si>
    <t>单位变动生产成本</t>
    <phoneticPr fontId="3" type="noConversion"/>
  </si>
  <si>
    <t>销售数量</t>
    <phoneticPr fontId="3" type="noConversion"/>
  </si>
  <si>
    <t>期初存量</t>
    <phoneticPr fontId="3" type="noConversion"/>
  </si>
  <si>
    <t>期末存量</t>
    <phoneticPr fontId="3" type="noConversion"/>
  </si>
  <si>
    <t>期初存货成本</t>
    <phoneticPr fontId="3" type="noConversion"/>
  </si>
  <si>
    <t>本期生产成本</t>
    <phoneticPr fontId="3" type="noConversion"/>
  </si>
  <si>
    <t>期末存货成本</t>
    <phoneticPr fontId="3" type="noConversion"/>
  </si>
  <si>
    <t>本期销售成本</t>
    <phoneticPr fontId="3" type="noConversion"/>
  </si>
  <si>
    <t>单位产品分摊的固定制造费用</t>
    <phoneticPr fontId="2" type="noConversion"/>
  </si>
  <si>
    <t>单位产品成本</t>
    <phoneticPr fontId="2" type="noConversion"/>
  </si>
  <si>
    <t>生产成本合计</t>
    <phoneticPr fontId="2" type="noConversion"/>
  </si>
  <si>
    <t>分摊的固定制造费用</t>
    <phoneticPr fontId="2" type="noConversion"/>
  </si>
  <si>
    <t>总生产成本</t>
    <phoneticPr fontId="2" type="noConversion"/>
  </si>
  <si>
    <t>固定制造费用</t>
    <phoneticPr fontId="2" type="noConversion"/>
  </si>
  <si>
    <t>验证过程：</t>
    <phoneticPr fontId="2" type="noConversion"/>
  </si>
  <si>
    <t>管理人员工资</t>
  </si>
  <si>
    <t>办公用品支出</t>
  </si>
  <si>
    <t>其他杂费</t>
  </si>
  <si>
    <t>销售人员工资</t>
    <phoneticPr fontId="3" type="noConversion"/>
  </si>
  <si>
    <t>广告费</t>
  </si>
  <si>
    <t>现金支付合计</t>
    <phoneticPr fontId="3" type="noConversion"/>
  </si>
  <si>
    <t>资本预算：</t>
  </si>
  <si>
    <t>固定资产投资</t>
  </si>
  <si>
    <t>现金支出合计</t>
    <phoneticPr fontId="3" type="noConversion"/>
  </si>
  <si>
    <t>利润草算（不包括利息费用）</t>
    <phoneticPr fontId="3" type="noConversion"/>
  </si>
  <si>
    <t>全年</t>
  </si>
  <si>
    <t>销售收入</t>
    <phoneticPr fontId="3" type="noConversion"/>
  </si>
  <si>
    <t>减：销售成本</t>
    <phoneticPr fontId="3" type="noConversion"/>
  </si>
  <si>
    <r>
      <t xml:space="preserve">        </t>
    </r>
    <r>
      <rPr>
        <sz val="10"/>
        <rFont val="宋体"/>
        <family val="3"/>
        <charset val="134"/>
      </rPr>
      <t>销售费用</t>
    </r>
    <phoneticPr fontId="3" type="noConversion"/>
  </si>
  <si>
    <r>
      <t xml:space="preserve">       </t>
    </r>
    <r>
      <rPr>
        <sz val="10"/>
        <rFont val="宋体"/>
        <family val="3"/>
        <charset val="134"/>
      </rPr>
      <t>管理费用</t>
    </r>
    <phoneticPr fontId="3" type="noConversion"/>
  </si>
  <si>
    <t>税前利润</t>
    <phoneticPr fontId="3" type="noConversion"/>
  </si>
  <si>
    <t>所得税</t>
    <phoneticPr fontId="3" type="noConversion"/>
  </si>
  <si>
    <t>现金收支草算（确定大致应借款数量、利息费用）</t>
    <phoneticPr fontId="3" type="noConversion"/>
  </si>
  <si>
    <t>期初余额</t>
    <phoneticPr fontId="3" type="noConversion"/>
  </si>
  <si>
    <t>加：销售收现</t>
    <phoneticPr fontId="3" type="noConversion"/>
  </si>
  <si>
    <r>
      <t xml:space="preserve">        </t>
    </r>
    <r>
      <rPr>
        <sz val="10"/>
        <rFont val="宋体"/>
        <family val="3"/>
        <charset val="134"/>
      </rPr>
      <t>应收账款收回</t>
    </r>
    <phoneticPr fontId="3" type="noConversion"/>
  </si>
  <si>
    <t>本期收入现金合计</t>
    <phoneticPr fontId="3" type="noConversion"/>
  </si>
  <si>
    <t>减：采购支出</t>
    <phoneticPr fontId="3" type="noConversion"/>
  </si>
  <si>
    <r>
      <t xml:space="preserve">        </t>
    </r>
    <r>
      <rPr>
        <sz val="10"/>
        <rFont val="宋体"/>
        <family val="3"/>
        <charset val="134"/>
      </rPr>
      <t>支付工资</t>
    </r>
    <phoneticPr fontId="3" type="noConversion"/>
  </si>
  <si>
    <r>
      <t xml:space="preserve">       </t>
    </r>
    <r>
      <rPr>
        <sz val="10"/>
        <rFont val="宋体"/>
        <family val="3"/>
        <charset val="134"/>
      </rPr>
      <t>支付制造费用</t>
    </r>
    <phoneticPr fontId="3" type="noConversion"/>
  </si>
  <si>
    <r>
      <t xml:space="preserve">       </t>
    </r>
    <r>
      <rPr>
        <sz val="10"/>
        <rFont val="宋体"/>
        <family val="3"/>
        <charset val="134"/>
      </rPr>
      <t>支付销售费用</t>
    </r>
    <phoneticPr fontId="3" type="noConversion"/>
  </si>
  <si>
    <r>
      <t xml:space="preserve">       </t>
    </r>
    <r>
      <rPr>
        <sz val="10"/>
        <rFont val="宋体"/>
        <family val="3"/>
        <charset val="134"/>
      </rPr>
      <t>支付管理费用</t>
    </r>
    <phoneticPr fontId="3" type="noConversion"/>
  </si>
  <si>
    <r>
      <t xml:space="preserve">       </t>
    </r>
    <r>
      <rPr>
        <sz val="10"/>
        <rFont val="宋体"/>
        <family val="3"/>
        <charset val="134"/>
      </rPr>
      <t>税费缴纳</t>
    </r>
    <phoneticPr fontId="3" type="noConversion"/>
  </si>
  <si>
    <r>
      <t xml:space="preserve">      </t>
    </r>
    <r>
      <rPr>
        <sz val="10"/>
        <rFont val="宋体"/>
        <family val="3"/>
        <charset val="134"/>
      </rPr>
      <t>资本支出</t>
    </r>
    <phoneticPr fontId="3" type="noConversion"/>
  </si>
  <si>
    <t>支出合计</t>
    <phoneticPr fontId="3" type="noConversion"/>
  </si>
  <si>
    <t>收支净额</t>
    <phoneticPr fontId="3" type="noConversion"/>
  </si>
  <si>
    <t>合理存款量</t>
    <phoneticPr fontId="3" type="noConversion"/>
  </si>
  <si>
    <t>多余（不足）</t>
    <phoneticPr fontId="3" type="noConversion"/>
  </si>
  <si>
    <t>归还本金</t>
    <phoneticPr fontId="3" type="noConversion"/>
  </si>
  <si>
    <t>偿付利息</t>
    <phoneticPr fontId="3" type="noConversion"/>
  </si>
  <si>
    <t>新增借款</t>
    <phoneticPr fontId="3" type="noConversion"/>
  </si>
  <si>
    <t>期末余额</t>
    <phoneticPr fontId="3" type="noConversion"/>
  </si>
  <si>
    <t>得到结果：</t>
    <phoneticPr fontId="3" type="noConversion"/>
  </si>
  <si>
    <t>借款额度、利息费用。</t>
    <phoneticPr fontId="3" type="noConversion"/>
  </si>
  <si>
    <t>一季度归还</t>
    <phoneticPr fontId="2" type="noConversion"/>
  </si>
  <si>
    <t>二季度归还</t>
    <phoneticPr fontId="2" type="noConversion"/>
  </si>
  <si>
    <t>利润预算表</t>
    <phoneticPr fontId="3" type="noConversion"/>
  </si>
  <si>
    <r>
      <t xml:space="preserve">        </t>
    </r>
    <r>
      <rPr>
        <sz val="10"/>
        <rFont val="宋体"/>
        <family val="3"/>
        <charset val="134"/>
      </rPr>
      <t>管理费用</t>
    </r>
    <phoneticPr fontId="3" type="noConversion"/>
  </si>
  <si>
    <r>
      <t xml:space="preserve">        </t>
    </r>
    <r>
      <rPr>
        <sz val="10"/>
        <rFont val="宋体"/>
        <family val="3"/>
        <charset val="134"/>
      </rPr>
      <t>财务费用</t>
    </r>
    <phoneticPr fontId="3" type="noConversion"/>
  </si>
  <si>
    <t>净利润</t>
    <phoneticPr fontId="3" type="noConversion"/>
  </si>
  <si>
    <t>现金收支预算表</t>
    <phoneticPr fontId="3" type="noConversion"/>
  </si>
  <si>
    <t>1季度</t>
  </si>
  <si>
    <t>2季度</t>
  </si>
  <si>
    <t>3季度</t>
  </si>
  <si>
    <t>4季度</t>
  </si>
  <si>
    <r>
      <t xml:space="preserve">       </t>
    </r>
    <r>
      <rPr>
        <sz val="10"/>
        <rFont val="宋体"/>
        <family val="3"/>
        <charset val="134"/>
      </rPr>
      <t>支付财务费用</t>
    </r>
    <phoneticPr fontId="3" type="noConversion"/>
  </si>
  <si>
    <t>本期支出合计</t>
    <phoneticPr fontId="3" type="noConversion"/>
  </si>
  <si>
    <r>
      <t>多余（不足）</t>
    </r>
    <r>
      <rPr>
        <sz val="10"/>
        <rFont val="Times New Roman"/>
        <family val="1"/>
      </rPr>
      <t>*</t>
    </r>
    <phoneticPr fontId="3" type="noConversion"/>
  </si>
  <si>
    <r>
      <t>新增借款</t>
    </r>
    <r>
      <rPr>
        <sz val="10"/>
        <rFont val="Times New Roman"/>
        <family val="1"/>
      </rPr>
      <t>***</t>
    </r>
    <phoneticPr fontId="3" type="noConversion"/>
  </si>
  <si>
    <t>预计资产负债表</t>
    <phoneticPr fontId="3" type="noConversion"/>
  </si>
  <si>
    <t>期初</t>
    <phoneticPr fontId="3" type="noConversion"/>
  </si>
  <si>
    <t>一季度末</t>
    <phoneticPr fontId="3" type="noConversion"/>
  </si>
  <si>
    <t>二季度末</t>
    <phoneticPr fontId="3" type="noConversion"/>
  </si>
  <si>
    <t>三季度末</t>
    <phoneticPr fontId="3" type="noConversion"/>
  </si>
  <si>
    <t>四季度末</t>
    <phoneticPr fontId="3" type="noConversion"/>
  </si>
  <si>
    <t>资产：</t>
    <phoneticPr fontId="3" type="noConversion"/>
  </si>
  <si>
    <t>流动资产：</t>
    <phoneticPr fontId="3" type="noConversion"/>
  </si>
  <si>
    <t>在建工程</t>
    <phoneticPr fontId="3" type="noConversion"/>
  </si>
  <si>
    <t>资产合计</t>
    <phoneticPr fontId="3" type="noConversion"/>
  </si>
  <si>
    <t>负债与所有者权益</t>
    <phoneticPr fontId="3" type="noConversion"/>
  </si>
  <si>
    <t>非流动资产合计</t>
    <phoneticPr fontId="2" type="noConversion"/>
  </si>
  <si>
    <t>家用电热水壶</t>
    <phoneticPr fontId="2" type="noConversion"/>
  </si>
  <si>
    <t>期初家用电热水壶数量：</t>
    <phoneticPr fontId="3" type="noConversion"/>
  </si>
  <si>
    <t>家用电热水壶</t>
    <phoneticPr fontId="3" type="noConversion"/>
  </si>
  <si>
    <t>家用电热水壶</t>
    <phoneticPr fontId="3" type="noConversion"/>
  </si>
  <si>
    <t>家用电热水壶</t>
    <phoneticPr fontId="2" type="noConversion"/>
  </si>
  <si>
    <t>家用电热水壶</t>
    <phoneticPr fontId="3" type="noConversion"/>
  </si>
  <si>
    <t>便携电热水壶</t>
    <phoneticPr fontId="2" type="noConversion"/>
  </si>
  <si>
    <t>期初便携电热水壶数量：</t>
    <phoneticPr fontId="3" type="noConversion"/>
  </si>
  <si>
    <t>便携电热水壶</t>
    <phoneticPr fontId="3" type="noConversion"/>
  </si>
  <si>
    <t>便携电热水壶</t>
    <phoneticPr fontId="3" type="noConversion"/>
  </si>
  <si>
    <t>便携电热水壶</t>
    <phoneticPr fontId="3" type="noConversion"/>
  </si>
  <si>
    <t>不锈钢</t>
    <phoneticPr fontId="3" type="noConversion"/>
  </si>
  <si>
    <t>不锈钢</t>
    <phoneticPr fontId="3" type="noConversion"/>
  </si>
  <si>
    <t>不锈钢</t>
    <phoneticPr fontId="3" type="noConversion"/>
  </si>
  <si>
    <t>不锈钢</t>
    <phoneticPr fontId="3" type="noConversion"/>
  </si>
  <si>
    <t>不锈钢</t>
    <phoneticPr fontId="3" type="noConversion"/>
  </si>
  <si>
    <t>PP</t>
    <phoneticPr fontId="3" type="noConversion"/>
  </si>
  <si>
    <t>PP</t>
    <phoneticPr fontId="3" type="noConversion"/>
  </si>
  <si>
    <t>PP</t>
    <phoneticPr fontId="3" type="noConversion"/>
  </si>
  <si>
    <t>PP</t>
    <phoneticPr fontId="3" type="noConversion"/>
  </si>
  <si>
    <t>ABS</t>
    <phoneticPr fontId="3" type="noConversion"/>
  </si>
  <si>
    <t>ABS</t>
    <phoneticPr fontId="3" type="noConversion"/>
  </si>
  <si>
    <t>ABS</t>
    <phoneticPr fontId="3" type="noConversion"/>
  </si>
  <si>
    <t>ABS</t>
    <phoneticPr fontId="3" type="noConversion"/>
  </si>
  <si>
    <t>家用电热水壶</t>
    <phoneticPr fontId="2" type="noConversion"/>
  </si>
  <si>
    <t>便携电热水壶</t>
    <phoneticPr fontId="2" type="noConversion"/>
  </si>
  <si>
    <t>销售额/销售收入</t>
    <phoneticPr fontId="3" type="noConversion"/>
  </si>
  <si>
    <r>
      <rPr>
        <b/>
        <sz val="9"/>
        <color rgb="FFC00000"/>
        <rFont val="等线"/>
        <family val="3"/>
        <charset val="134"/>
        <scheme val="minor"/>
      </rPr>
      <t>注释</t>
    </r>
    <r>
      <rPr>
        <sz val="9"/>
        <color rgb="FFC00000"/>
        <rFont val="等线"/>
        <family val="3"/>
        <charset val="134"/>
        <scheme val="minor"/>
      </rPr>
      <t>：格美公司2021年1月一次性投资5000000元新建一条生产线，货币形式支付,2022年1月完工</t>
    </r>
    <phoneticPr fontId="2" type="noConversion"/>
  </si>
</sst>
</file>

<file path=xl/styles.xml><?xml version="1.0" encoding="utf-8"?>
<styleSheet xmlns="http://schemas.openxmlformats.org/spreadsheetml/2006/main">
  <numFmts count="4">
    <numFmt numFmtId="176" formatCode="0.00_ "/>
    <numFmt numFmtId="177" formatCode="0_ "/>
    <numFmt numFmtId="178" formatCode="0_);[Red]\(0\)"/>
    <numFmt numFmtId="179" formatCode="0.00_);[Red]\(0.00\)"/>
  </numFmts>
  <fonts count="12">
    <font>
      <sz val="12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Times New Roman"/>
      <family val="1"/>
    </font>
    <font>
      <sz val="10.5"/>
      <name val="宋体"/>
      <family val="3"/>
      <charset val="134"/>
    </font>
    <font>
      <sz val="10.5"/>
      <name val="Times New Roman"/>
      <family val="1"/>
    </font>
    <font>
      <b/>
      <sz val="16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宋体"/>
      <family val="3"/>
      <charset val="134"/>
    </font>
    <font>
      <sz val="9"/>
      <color rgb="FFC00000"/>
      <name val="等线"/>
      <family val="3"/>
      <charset val="134"/>
      <scheme val="minor"/>
    </font>
    <font>
      <b/>
      <sz val="9"/>
      <color rgb="FFC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top" wrapText="1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8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179" fontId="6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center"/>
    </xf>
    <xf numFmtId="0" fontId="1" fillId="0" borderId="0" xfId="0" applyFont="1">
      <alignment vertical="center"/>
    </xf>
    <xf numFmtId="177" fontId="4" fillId="0" borderId="1" xfId="0" applyNumberFormat="1" applyFont="1" applyBorder="1" applyAlignment="1">
      <alignment horizontal="justify" vertical="top" wrapText="1"/>
    </xf>
    <xf numFmtId="177" fontId="1" fillId="0" borderId="1" xfId="0" applyNumberFormat="1" applyFont="1" applyBorder="1" applyAlignment="1">
      <alignment horizontal="center" vertical="top" wrapText="1"/>
    </xf>
    <xf numFmtId="177" fontId="4" fillId="0" borderId="1" xfId="0" applyNumberFormat="1" applyFont="1" applyBorder="1" applyAlignment="1">
      <alignment horizontal="center" vertical="top" wrapText="1"/>
    </xf>
    <xf numFmtId="177" fontId="1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top" wrapText="1"/>
    </xf>
    <xf numFmtId="176" fontId="1" fillId="0" borderId="1" xfId="0" applyNumberFormat="1" applyFont="1" applyBorder="1" applyAlignment="1">
      <alignment horizontal="center" vertical="top" wrapText="1"/>
    </xf>
    <xf numFmtId="177" fontId="4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179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top" wrapText="1"/>
    </xf>
    <xf numFmtId="176" fontId="4" fillId="0" borderId="1" xfId="0" applyNumberFormat="1" applyFont="1" applyBorder="1">
      <alignment vertical="center"/>
    </xf>
    <xf numFmtId="179" fontId="0" fillId="0" borderId="0" xfId="0" applyNumberFormat="1">
      <alignment vertical="center"/>
    </xf>
    <xf numFmtId="179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>
      <alignment vertical="center"/>
    </xf>
    <xf numFmtId="0" fontId="10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topLeftCell="A37" zoomScale="157" zoomScaleNormal="157" workbookViewId="0">
      <selection activeCell="D42" sqref="D42"/>
    </sheetView>
  </sheetViews>
  <sheetFormatPr defaultColWidth="11" defaultRowHeight="15.6"/>
  <cols>
    <col min="1" max="1" width="15.6328125" bestFit="1" customWidth="1"/>
    <col min="2" max="2" width="12.90625" customWidth="1"/>
    <col min="4" max="4" width="13.90625" bestFit="1" customWidth="1"/>
  </cols>
  <sheetData>
    <row r="1" spans="1:7">
      <c r="A1" s="65" t="s">
        <v>72</v>
      </c>
      <c r="B1" s="65"/>
      <c r="C1" s="65"/>
      <c r="D1" s="65"/>
      <c r="E1" s="65"/>
      <c r="F1" s="65"/>
      <c r="G1" s="65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 t="s">
        <v>218</v>
      </c>
      <c r="B3" s="2">
        <v>80</v>
      </c>
      <c r="C3" s="2">
        <v>50000</v>
      </c>
      <c r="D3" s="2">
        <v>60000</v>
      </c>
      <c r="E3" s="2">
        <v>70000</v>
      </c>
      <c r="F3" s="2">
        <v>80000</v>
      </c>
      <c r="G3" s="1">
        <f>SUM(C3:F3)</f>
        <v>260000</v>
      </c>
    </row>
    <row r="4" spans="1:7">
      <c r="A4" s="1" t="s">
        <v>224</v>
      </c>
      <c r="B4" s="2">
        <v>100</v>
      </c>
      <c r="C4" s="2">
        <v>100000</v>
      </c>
      <c r="D4" s="2">
        <v>110000</v>
      </c>
      <c r="E4" s="2">
        <v>120000</v>
      </c>
      <c r="F4" s="2">
        <v>130000</v>
      </c>
      <c r="G4" s="1">
        <f>SUM(C4:F4)</f>
        <v>460000</v>
      </c>
    </row>
    <row r="5" spans="1:7">
      <c r="A5" s="3" t="s">
        <v>7</v>
      </c>
      <c r="B5" s="3" t="s">
        <v>8</v>
      </c>
      <c r="C5" s="4">
        <v>0.7</v>
      </c>
      <c r="D5" s="5" t="s">
        <v>9</v>
      </c>
      <c r="E5" s="4">
        <v>0.3</v>
      </c>
      <c r="F5" s="4"/>
      <c r="G5" s="3"/>
    </row>
    <row r="6" spans="1:7">
      <c r="A6" s="3" t="s">
        <v>219</v>
      </c>
      <c r="B6" s="4">
        <v>10000</v>
      </c>
      <c r="C6" s="3" t="s">
        <v>10</v>
      </c>
      <c r="D6" s="5">
        <v>50</v>
      </c>
      <c r="E6" s="4"/>
      <c r="F6" s="4"/>
      <c r="G6" s="3"/>
    </row>
    <row r="7" spans="1:7">
      <c r="A7" s="3" t="s">
        <v>225</v>
      </c>
      <c r="B7" s="4">
        <v>15000</v>
      </c>
      <c r="C7" s="3" t="s">
        <v>10</v>
      </c>
      <c r="D7" s="6">
        <v>70</v>
      </c>
      <c r="E7" s="6"/>
      <c r="F7" s="4"/>
      <c r="G7" s="4"/>
    </row>
    <row r="8" spans="1:7">
      <c r="A8" s="3" t="s">
        <v>11</v>
      </c>
      <c r="B8" s="3" t="s">
        <v>12</v>
      </c>
      <c r="C8" s="4">
        <v>0.2</v>
      </c>
      <c r="D8" s="4"/>
      <c r="E8" s="3"/>
      <c r="F8" s="4"/>
      <c r="G8" s="4"/>
    </row>
    <row r="10" spans="1:7">
      <c r="A10" s="66" t="s">
        <v>77</v>
      </c>
      <c r="B10" s="66"/>
      <c r="C10" s="66"/>
      <c r="D10" s="66"/>
      <c r="E10" s="66"/>
    </row>
    <row r="11" spans="1:7">
      <c r="A11" s="3" t="s">
        <v>13</v>
      </c>
      <c r="B11" s="62" t="s">
        <v>229</v>
      </c>
      <c r="C11" s="4" t="s">
        <v>234</v>
      </c>
      <c r="D11" s="4" t="s">
        <v>238</v>
      </c>
      <c r="E11" s="3"/>
    </row>
    <row r="12" spans="1:7">
      <c r="A12" s="3" t="s">
        <v>14</v>
      </c>
      <c r="B12" s="4">
        <v>100000</v>
      </c>
      <c r="C12" s="3">
        <v>40000</v>
      </c>
      <c r="D12" s="4">
        <v>50000</v>
      </c>
      <c r="E12" s="4"/>
    </row>
    <row r="13" spans="1:7">
      <c r="A13" s="3" t="s">
        <v>15</v>
      </c>
      <c r="B13" s="3" t="s">
        <v>16</v>
      </c>
      <c r="C13" s="4">
        <v>0.1</v>
      </c>
      <c r="D13" s="4"/>
      <c r="E13" s="3"/>
    </row>
    <row r="14" spans="1:7">
      <c r="A14" s="3" t="s">
        <v>17</v>
      </c>
      <c r="B14" s="3" t="s">
        <v>18</v>
      </c>
      <c r="C14" s="4">
        <v>0.6</v>
      </c>
      <c r="D14" s="5" t="s">
        <v>19</v>
      </c>
      <c r="E14" s="4">
        <v>0.4</v>
      </c>
    </row>
    <row r="15" spans="1:7">
      <c r="A15" s="67" t="s">
        <v>20</v>
      </c>
      <c r="B15" s="67"/>
      <c r="C15" s="4">
        <v>3000000</v>
      </c>
      <c r="D15" s="8"/>
      <c r="E15" s="8"/>
    </row>
    <row r="17" spans="1:8">
      <c r="A17" s="66" t="s">
        <v>76</v>
      </c>
      <c r="B17" s="66"/>
      <c r="C17" s="66"/>
      <c r="D17" s="66"/>
      <c r="E17" s="66"/>
      <c r="F17" s="66"/>
    </row>
    <row r="18" spans="1:8">
      <c r="A18" s="68" t="s">
        <v>21</v>
      </c>
      <c r="B18" s="3"/>
      <c r="C18" s="68" t="s">
        <v>22</v>
      </c>
      <c r="D18" s="68"/>
      <c r="E18" s="68"/>
      <c r="F18" s="3" t="s">
        <v>23</v>
      </c>
    </row>
    <row r="19" spans="1:8" ht="20.399999999999999">
      <c r="A19" s="68"/>
      <c r="B19" s="3"/>
      <c r="C19" s="3" t="s">
        <v>230</v>
      </c>
      <c r="D19" s="3" t="s">
        <v>234</v>
      </c>
      <c r="E19" s="3" t="s">
        <v>239</v>
      </c>
      <c r="F19" s="9"/>
    </row>
    <row r="20" spans="1:8">
      <c r="A20" s="3" t="s">
        <v>220</v>
      </c>
      <c r="B20" s="3" t="s">
        <v>24</v>
      </c>
      <c r="C20" s="3">
        <v>4</v>
      </c>
      <c r="D20" s="4">
        <v>3</v>
      </c>
      <c r="E20" s="5"/>
      <c r="F20" s="4">
        <v>1</v>
      </c>
    </row>
    <row r="21" spans="1:8">
      <c r="A21" s="3" t="s">
        <v>226</v>
      </c>
      <c r="B21" s="3" t="s">
        <v>24</v>
      </c>
      <c r="C21" s="3">
        <v>4</v>
      </c>
      <c r="D21" s="4"/>
      <c r="E21" s="4">
        <v>5</v>
      </c>
      <c r="F21" s="4">
        <v>1.5</v>
      </c>
    </row>
    <row r="22" spans="1:8" ht="20.399999999999999">
      <c r="A22" s="9"/>
      <c r="B22" s="3" t="s">
        <v>25</v>
      </c>
      <c r="C22" s="3">
        <v>5</v>
      </c>
      <c r="D22" s="3">
        <v>6</v>
      </c>
      <c r="E22" s="3">
        <v>7</v>
      </c>
      <c r="F22" s="4">
        <v>8</v>
      </c>
    </row>
    <row r="24" spans="1:8">
      <c r="A24" s="65" t="s">
        <v>75</v>
      </c>
      <c r="B24" s="65"/>
      <c r="C24" s="65"/>
      <c r="D24" s="65"/>
      <c r="E24" s="65"/>
    </row>
    <row r="25" spans="1:8">
      <c r="A25" s="3" t="s">
        <v>26</v>
      </c>
      <c r="B25" s="4"/>
      <c r="C25" s="4"/>
      <c r="D25" s="4"/>
      <c r="E25" s="4"/>
    </row>
    <row r="26" spans="1:8">
      <c r="A26" s="3" t="s">
        <v>27</v>
      </c>
      <c r="B26" s="3" t="s">
        <v>29</v>
      </c>
      <c r="C26" s="3" t="s">
        <v>28</v>
      </c>
      <c r="D26" s="3" t="s">
        <v>30</v>
      </c>
      <c r="E26" s="3" t="s">
        <v>31</v>
      </c>
    </row>
    <row r="27" spans="1:8">
      <c r="A27" s="3" t="s">
        <v>32</v>
      </c>
      <c r="B27" s="4">
        <v>1</v>
      </c>
      <c r="C27" s="4">
        <v>1.5</v>
      </c>
      <c r="D27" s="4">
        <v>0.5</v>
      </c>
      <c r="E27" s="4">
        <f>SUM(B27:D27)</f>
        <v>3</v>
      </c>
    </row>
    <row r="28" spans="1:8">
      <c r="A28" s="3" t="s">
        <v>33</v>
      </c>
      <c r="B28" s="3" t="s">
        <v>34</v>
      </c>
      <c r="C28" s="3" t="s">
        <v>35</v>
      </c>
      <c r="D28" s="3" t="s">
        <v>36</v>
      </c>
      <c r="E28" s="3" t="s">
        <v>31</v>
      </c>
    </row>
    <row r="29" spans="1:8">
      <c r="A29" s="3" t="s">
        <v>32</v>
      </c>
      <c r="B29" s="4">
        <v>800000</v>
      </c>
      <c r="C29" s="4">
        <v>600000</v>
      </c>
      <c r="D29" s="4">
        <v>400000</v>
      </c>
      <c r="E29" s="4">
        <f>SUM(B29:D29)</f>
        <v>1800000</v>
      </c>
    </row>
    <row r="31" spans="1:8">
      <c r="A31" s="66" t="s">
        <v>74</v>
      </c>
      <c r="B31" s="66"/>
      <c r="C31" s="66"/>
      <c r="D31" s="66"/>
      <c r="E31" s="66"/>
      <c r="F31" s="66"/>
      <c r="G31" s="66"/>
      <c r="H31" s="13"/>
    </row>
    <row r="32" spans="1:8">
      <c r="A32" s="3" t="s">
        <v>37</v>
      </c>
      <c r="B32" s="80" t="s">
        <v>244</v>
      </c>
      <c r="C32" s="10">
        <v>0.05</v>
      </c>
      <c r="D32" s="3"/>
      <c r="E32" s="3"/>
      <c r="F32" s="4"/>
      <c r="G32" s="3"/>
      <c r="H32" s="7"/>
    </row>
    <row r="33" spans="1:8">
      <c r="A33" s="3" t="s">
        <v>39</v>
      </c>
      <c r="B33" s="3" t="s">
        <v>40</v>
      </c>
      <c r="C33" s="4">
        <v>200000</v>
      </c>
      <c r="D33" s="3" t="s">
        <v>36</v>
      </c>
      <c r="E33" s="4">
        <v>160000</v>
      </c>
      <c r="F33" s="3"/>
      <c r="G33" s="3"/>
      <c r="H33" s="7"/>
    </row>
    <row r="34" spans="1:8" ht="20.399999999999999">
      <c r="A34" s="3" t="s">
        <v>41</v>
      </c>
      <c r="B34" s="3"/>
      <c r="C34" s="3" t="s">
        <v>42</v>
      </c>
      <c r="D34" s="3" t="s">
        <v>34</v>
      </c>
      <c r="E34" s="3" t="s">
        <v>43</v>
      </c>
      <c r="F34" s="3" t="s">
        <v>44</v>
      </c>
      <c r="G34" s="3" t="s">
        <v>31</v>
      </c>
      <c r="H34" s="12"/>
    </row>
    <row r="35" spans="1:8" ht="20.399999999999999">
      <c r="A35" s="3" t="s">
        <v>32</v>
      </c>
      <c r="B35" s="3"/>
      <c r="C35" s="4">
        <v>800000</v>
      </c>
      <c r="D35" s="4">
        <v>200000</v>
      </c>
      <c r="E35" s="4">
        <v>200000</v>
      </c>
      <c r="F35" s="4">
        <v>160000</v>
      </c>
      <c r="G35" s="4">
        <f>SUM(C35:F35)</f>
        <v>1360000</v>
      </c>
      <c r="H35" s="12"/>
    </row>
    <row r="37" spans="1:8">
      <c r="A37" s="65" t="s">
        <v>78</v>
      </c>
      <c r="B37" s="65"/>
      <c r="C37" s="65"/>
      <c r="D37" s="65"/>
      <c r="E37" s="65"/>
    </row>
    <row r="38" spans="1:8">
      <c r="A38" s="3" t="s">
        <v>45</v>
      </c>
      <c r="B38" s="10">
        <v>0.06</v>
      </c>
      <c r="C38" s="4" t="s">
        <v>46</v>
      </c>
      <c r="D38" s="4">
        <v>1000000</v>
      </c>
      <c r="E38" s="4"/>
    </row>
    <row r="39" spans="1:8">
      <c r="A39" s="3" t="s">
        <v>47</v>
      </c>
      <c r="B39" s="4">
        <v>2000000</v>
      </c>
      <c r="C39" s="4" t="s">
        <v>48</v>
      </c>
      <c r="D39" s="3" t="s">
        <v>49</v>
      </c>
      <c r="E39" s="10">
        <v>0.25</v>
      </c>
    </row>
    <row r="40" spans="1:8">
      <c r="A40" s="55" t="s">
        <v>191</v>
      </c>
      <c r="B40" s="8">
        <v>1000000</v>
      </c>
      <c r="C40" s="8" t="s">
        <v>192</v>
      </c>
      <c r="D40" s="8">
        <v>1000000</v>
      </c>
      <c r="E40" s="8"/>
    </row>
    <row r="41" spans="1:8">
      <c r="A41" s="65" t="s">
        <v>73</v>
      </c>
      <c r="B41" s="65"/>
      <c r="C41" s="14"/>
    </row>
    <row r="42" spans="1:8" ht="81" customHeight="1">
      <c r="A42" s="8" t="s">
        <v>50</v>
      </c>
      <c r="B42" s="8">
        <v>5000000</v>
      </c>
      <c r="C42" s="84" t="s">
        <v>245</v>
      </c>
    </row>
    <row r="44" spans="1:8">
      <c r="A44" s="65" t="s">
        <v>79</v>
      </c>
      <c r="B44" s="65"/>
      <c r="C44" s="65"/>
      <c r="D44" s="65"/>
    </row>
    <row r="45" spans="1:8">
      <c r="A45" s="3" t="s">
        <v>51</v>
      </c>
      <c r="B45" s="4"/>
      <c r="C45" s="3" t="s">
        <v>52</v>
      </c>
      <c r="D45" s="4"/>
    </row>
    <row r="46" spans="1:8">
      <c r="A46" s="2" t="s">
        <v>53</v>
      </c>
      <c r="B46" s="2" t="s">
        <v>54</v>
      </c>
      <c r="C46" s="2" t="s">
        <v>53</v>
      </c>
      <c r="D46" s="2" t="s">
        <v>54</v>
      </c>
    </row>
    <row r="47" spans="1:8">
      <c r="A47" s="1" t="s">
        <v>55</v>
      </c>
      <c r="B47" s="11">
        <v>1000000</v>
      </c>
      <c r="C47" s="1" t="s">
        <v>47</v>
      </c>
      <c r="D47" s="11">
        <v>2000000</v>
      </c>
    </row>
    <row r="48" spans="1:8">
      <c r="A48" s="2" t="s">
        <v>56</v>
      </c>
      <c r="B48" s="11">
        <v>1500000</v>
      </c>
      <c r="C48" s="2" t="s">
        <v>57</v>
      </c>
      <c r="D48" s="11">
        <v>1200000</v>
      </c>
    </row>
    <row r="49" spans="1:4">
      <c r="A49" s="2" t="s">
        <v>58</v>
      </c>
      <c r="B49" s="11">
        <v>2640000</v>
      </c>
      <c r="C49" s="1" t="s">
        <v>59</v>
      </c>
      <c r="D49" s="11">
        <v>720000</v>
      </c>
    </row>
    <row r="50" spans="1:4">
      <c r="A50" s="1" t="s">
        <v>60</v>
      </c>
      <c r="B50" s="11">
        <f>SUM(B47:B49)</f>
        <v>5140000</v>
      </c>
      <c r="C50" s="1" t="s">
        <v>61</v>
      </c>
      <c r="D50" s="11">
        <f>SUM(D47:D49)</f>
        <v>3920000</v>
      </c>
    </row>
    <row r="51" spans="1:4">
      <c r="A51" s="1" t="s">
        <v>62</v>
      </c>
      <c r="B51" s="11">
        <v>2600000</v>
      </c>
      <c r="C51" s="1" t="s">
        <v>63</v>
      </c>
      <c r="D51" s="11">
        <f>D50</f>
        <v>3920000</v>
      </c>
    </row>
    <row r="52" spans="1:4">
      <c r="A52" s="2" t="s">
        <v>64</v>
      </c>
      <c r="B52" s="11">
        <v>59080000</v>
      </c>
      <c r="C52" s="1" t="s">
        <v>65</v>
      </c>
      <c r="D52" s="11">
        <v>60000000</v>
      </c>
    </row>
    <row r="53" spans="1:4">
      <c r="A53" s="2" t="s">
        <v>66</v>
      </c>
      <c r="B53" s="11">
        <v>5000000</v>
      </c>
      <c r="C53" s="2" t="s">
        <v>67</v>
      </c>
      <c r="D53" s="11">
        <f>D55-D51-D52</f>
        <v>7900000</v>
      </c>
    </row>
    <row r="54" spans="1:4" ht="24">
      <c r="A54" s="2" t="s">
        <v>68</v>
      </c>
      <c r="B54" s="11">
        <f>SUM(B51:B53)</f>
        <v>66680000</v>
      </c>
      <c r="C54" s="1" t="s">
        <v>69</v>
      </c>
      <c r="D54" s="11">
        <f>SUM(D52:D53)</f>
        <v>67900000</v>
      </c>
    </row>
    <row r="55" spans="1:4" ht="24">
      <c r="A55" s="2" t="s">
        <v>70</v>
      </c>
      <c r="B55" s="11">
        <f>B50+B54</f>
        <v>71820000</v>
      </c>
      <c r="C55" s="1" t="s">
        <v>71</v>
      </c>
      <c r="D55" s="11">
        <f>B55</f>
        <v>71820000</v>
      </c>
    </row>
  </sheetData>
  <mergeCells count="11">
    <mergeCell ref="A1:G1"/>
    <mergeCell ref="A15:B15"/>
    <mergeCell ref="A10:E10"/>
    <mergeCell ref="A18:A19"/>
    <mergeCell ref="C18:E18"/>
    <mergeCell ref="A17:F17"/>
    <mergeCell ref="A44:D44"/>
    <mergeCell ref="A24:E24"/>
    <mergeCell ref="A31:G31"/>
    <mergeCell ref="A37:E37"/>
    <mergeCell ref="A41:B4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4"/>
  <sheetViews>
    <sheetView zoomScale="130" zoomScaleNormal="130" workbookViewId="0">
      <selection activeCell="H11" sqref="H11"/>
    </sheetView>
  </sheetViews>
  <sheetFormatPr defaultColWidth="11" defaultRowHeight="15.6"/>
  <sheetData>
    <row r="3" spans="1:8">
      <c r="A3" s="3" t="s">
        <v>80</v>
      </c>
      <c r="B3" s="69" t="s">
        <v>81</v>
      </c>
      <c r="C3" s="69"/>
      <c r="D3" s="15" t="s">
        <v>90</v>
      </c>
      <c r="E3" s="15" t="s">
        <v>91</v>
      </c>
      <c r="F3" s="15" t="s">
        <v>92</v>
      </c>
      <c r="G3" s="15" t="s">
        <v>93</v>
      </c>
      <c r="H3" s="15" t="s">
        <v>94</v>
      </c>
    </row>
    <row r="4" spans="1:8">
      <c r="A4" s="68" t="s">
        <v>82</v>
      </c>
      <c r="B4" s="69" t="s">
        <v>221</v>
      </c>
      <c r="C4" s="15" t="s">
        <v>83</v>
      </c>
      <c r="D4" s="8">
        <f>基础数据!C3</f>
        <v>50000</v>
      </c>
      <c r="E4" s="8">
        <f>基础数据!D3</f>
        <v>60000</v>
      </c>
      <c r="F4" s="8">
        <f>基础数据!E3</f>
        <v>70000</v>
      </c>
      <c r="G4" s="8">
        <f>基础数据!F3</f>
        <v>80000</v>
      </c>
      <c r="H4" s="8">
        <f>SUM(D4:G4)</f>
        <v>260000</v>
      </c>
    </row>
    <row r="5" spans="1:8">
      <c r="A5" s="68"/>
      <c r="B5" s="69"/>
      <c r="C5" s="15" t="s">
        <v>25</v>
      </c>
      <c r="D5" s="8">
        <f>基础数据!$B$3</f>
        <v>80</v>
      </c>
      <c r="E5" s="8">
        <f>基础数据!$B$3</f>
        <v>80</v>
      </c>
      <c r="F5" s="8">
        <f>基础数据!$B$3</f>
        <v>80</v>
      </c>
      <c r="G5" s="8">
        <f>基础数据!$B$3</f>
        <v>80</v>
      </c>
      <c r="H5" s="8"/>
    </row>
    <row r="6" spans="1:8">
      <c r="A6" s="68"/>
      <c r="B6" s="69"/>
      <c r="C6" s="15" t="s">
        <v>84</v>
      </c>
      <c r="D6" s="8">
        <f>D4*D5</f>
        <v>4000000</v>
      </c>
      <c r="E6" s="8">
        <f t="shared" ref="E6:G6" si="0">E4*E5</f>
        <v>4800000</v>
      </c>
      <c r="F6" s="8">
        <f t="shared" si="0"/>
        <v>5600000</v>
      </c>
      <c r="G6" s="8">
        <f t="shared" si="0"/>
        <v>6400000</v>
      </c>
      <c r="H6" s="8">
        <f>SUM(D6:G6)</f>
        <v>20800000</v>
      </c>
    </row>
    <row r="7" spans="1:8">
      <c r="A7" s="68"/>
      <c r="B7" s="69" t="s">
        <v>224</v>
      </c>
      <c r="C7" s="15" t="s">
        <v>83</v>
      </c>
      <c r="D7" s="8">
        <f>基础数据!C4</f>
        <v>100000</v>
      </c>
      <c r="E7" s="8">
        <f>基础数据!D4</f>
        <v>110000</v>
      </c>
      <c r="F7" s="8">
        <f>基础数据!E4</f>
        <v>120000</v>
      </c>
      <c r="G7" s="8">
        <f>基础数据!F4</f>
        <v>130000</v>
      </c>
      <c r="H7" s="8">
        <f>SUM(D7:G7)</f>
        <v>460000</v>
      </c>
    </row>
    <row r="8" spans="1:8">
      <c r="A8" s="68"/>
      <c r="B8" s="69"/>
      <c r="C8" s="15" t="s">
        <v>25</v>
      </c>
      <c r="D8" s="8">
        <f>基础数据!$B$4</f>
        <v>100</v>
      </c>
      <c r="E8" s="8">
        <f>基础数据!$B$4</f>
        <v>100</v>
      </c>
      <c r="F8" s="8">
        <f>基础数据!$B$4</f>
        <v>100</v>
      </c>
      <c r="G8" s="8">
        <f>基础数据!$B$4</f>
        <v>100</v>
      </c>
      <c r="H8" s="8"/>
    </row>
    <row r="9" spans="1:8">
      <c r="A9" s="68"/>
      <c r="B9" s="69"/>
      <c r="C9" s="15" t="s">
        <v>84</v>
      </c>
      <c r="D9" s="8">
        <f>D7*D8</f>
        <v>10000000</v>
      </c>
      <c r="E9" s="8">
        <f t="shared" ref="E9:G9" si="1">E7*E8</f>
        <v>11000000</v>
      </c>
      <c r="F9" s="8">
        <f t="shared" si="1"/>
        <v>12000000</v>
      </c>
      <c r="G9" s="8">
        <f t="shared" si="1"/>
        <v>13000000</v>
      </c>
      <c r="H9" s="8">
        <f>SUM(D9:G9)</f>
        <v>46000000</v>
      </c>
    </row>
    <row r="10" spans="1:8">
      <c r="A10" s="68"/>
      <c r="B10" s="69" t="s">
        <v>31</v>
      </c>
      <c r="C10" s="69"/>
      <c r="D10" s="8">
        <f>D6+D9</f>
        <v>14000000</v>
      </c>
      <c r="E10" s="8">
        <f t="shared" ref="E10:H10" si="2">E6+E9</f>
        <v>15800000</v>
      </c>
      <c r="F10" s="8">
        <f t="shared" si="2"/>
        <v>17600000</v>
      </c>
      <c r="G10" s="8">
        <f t="shared" si="2"/>
        <v>19400000</v>
      </c>
      <c r="H10" s="8">
        <f t="shared" si="2"/>
        <v>66800000</v>
      </c>
    </row>
    <row r="11" spans="1:8">
      <c r="A11" s="68" t="s">
        <v>85</v>
      </c>
      <c r="B11" s="69" t="s">
        <v>86</v>
      </c>
      <c r="C11" s="69"/>
      <c r="D11" s="8">
        <f>D10*0.7</f>
        <v>9800000</v>
      </c>
      <c r="E11" s="8">
        <f t="shared" ref="E11:G11" si="3">E10*0.7</f>
        <v>11060000</v>
      </c>
      <c r="F11" s="8">
        <f t="shared" si="3"/>
        <v>12320000</v>
      </c>
      <c r="G11" s="8">
        <f t="shared" si="3"/>
        <v>13580000</v>
      </c>
      <c r="H11" s="8"/>
    </row>
    <row r="12" spans="1:8">
      <c r="A12" s="68"/>
      <c r="B12" s="69" t="s">
        <v>87</v>
      </c>
      <c r="C12" s="69"/>
      <c r="D12" s="8">
        <f>D10-D11</f>
        <v>4200000</v>
      </c>
      <c r="E12" s="8">
        <f t="shared" ref="E12:G12" si="4">E10-E11</f>
        <v>4740000</v>
      </c>
      <c r="F12" s="8">
        <f t="shared" si="4"/>
        <v>5280000</v>
      </c>
      <c r="G12" s="8">
        <f t="shared" si="4"/>
        <v>5820000</v>
      </c>
      <c r="H12" s="8"/>
    </row>
    <row r="13" spans="1:8">
      <c r="A13" s="68"/>
      <c r="B13" s="69" t="s">
        <v>88</v>
      </c>
      <c r="C13" s="69"/>
      <c r="D13" s="8">
        <f>基础数据!B48</f>
        <v>1500000</v>
      </c>
      <c r="E13" s="8">
        <f>D12</f>
        <v>4200000</v>
      </c>
      <c r="F13" s="8">
        <f t="shared" ref="F13:G13" si="5">E12</f>
        <v>4740000</v>
      </c>
      <c r="G13" s="8">
        <f t="shared" si="5"/>
        <v>5280000</v>
      </c>
      <c r="H13" s="8"/>
    </row>
    <row r="14" spans="1:8">
      <c r="A14" s="68"/>
      <c r="B14" s="69" t="s">
        <v>89</v>
      </c>
      <c r="C14" s="69"/>
      <c r="D14" s="8">
        <f>D11+D13</f>
        <v>11300000</v>
      </c>
      <c r="E14" s="8">
        <f t="shared" ref="E14:G14" si="6">E11+E13</f>
        <v>15260000</v>
      </c>
      <c r="F14" s="8">
        <f t="shared" si="6"/>
        <v>17060000</v>
      </c>
      <c r="G14" s="8">
        <f t="shared" si="6"/>
        <v>18860000</v>
      </c>
      <c r="H14" s="8">
        <f>SUM(D14:G14)</f>
        <v>62480000</v>
      </c>
    </row>
  </sheetData>
  <mergeCells count="10">
    <mergeCell ref="A11:A14"/>
    <mergeCell ref="B11:C11"/>
    <mergeCell ref="B12:C12"/>
    <mergeCell ref="B13:C13"/>
    <mergeCell ref="B14:C14"/>
    <mergeCell ref="B3:C3"/>
    <mergeCell ref="A4:A10"/>
    <mergeCell ref="B4:B6"/>
    <mergeCell ref="B7:B9"/>
    <mergeCell ref="B10:C10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0"/>
  <sheetViews>
    <sheetView zoomScale="176" zoomScaleNormal="176" workbookViewId="0">
      <selection activeCell="G9" sqref="G9"/>
    </sheetView>
  </sheetViews>
  <sheetFormatPr defaultColWidth="11" defaultRowHeight="15.6"/>
  <cols>
    <col min="1" max="1" width="6.453125" customWidth="1"/>
    <col min="2" max="2" width="11.6328125" customWidth="1"/>
  </cols>
  <sheetData>
    <row r="2" spans="1:7">
      <c r="A2" s="1" t="s">
        <v>81</v>
      </c>
      <c r="B2" s="16" t="s">
        <v>53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</row>
    <row r="3" spans="1:7">
      <c r="A3" s="70" t="s">
        <v>222</v>
      </c>
      <c r="B3" s="1" t="s">
        <v>95</v>
      </c>
      <c r="C3" s="2">
        <f>销售预算!D4</f>
        <v>50000</v>
      </c>
      <c r="D3" s="2">
        <f>销售预算!E4</f>
        <v>60000</v>
      </c>
      <c r="E3" s="2">
        <f>销售预算!F4</f>
        <v>70000</v>
      </c>
      <c r="F3" s="2">
        <f>销售预算!G4</f>
        <v>80000</v>
      </c>
      <c r="G3" s="2">
        <f>SUM(C3:F3)</f>
        <v>260000</v>
      </c>
    </row>
    <row r="4" spans="1:7">
      <c r="A4" s="71"/>
      <c r="B4" s="1" t="s">
        <v>96</v>
      </c>
      <c r="C4" s="2">
        <f>C3*0.2</f>
        <v>10000</v>
      </c>
      <c r="D4" s="2">
        <f t="shared" ref="D4:F4" si="0">D3*0.2</f>
        <v>12000</v>
      </c>
      <c r="E4" s="2">
        <f t="shared" si="0"/>
        <v>14000</v>
      </c>
      <c r="F4" s="2">
        <f t="shared" si="0"/>
        <v>16000</v>
      </c>
      <c r="G4" s="2">
        <f>F4</f>
        <v>16000</v>
      </c>
    </row>
    <row r="5" spans="1:7">
      <c r="A5" s="71"/>
      <c r="B5" s="1" t="s">
        <v>97</v>
      </c>
      <c r="C5" s="2">
        <f>基础数据!B6</f>
        <v>10000</v>
      </c>
      <c r="D5" s="2">
        <f>C4</f>
        <v>10000</v>
      </c>
      <c r="E5" s="2">
        <f t="shared" ref="E5:F5" si="1">D4</f>
        <v>12000</v>
      </c>
      <c r="F5" s="2">
        <f t="shared" si="1"/>
        <v>14000</v>
      </c>
      <c r="G5" s="2">
        <f>C5</f>
        <v>10000</v>
      </c>
    </row>
    <row r="6" spans="1:7">
      <c r="A6" s="72"/>
      <c r="B6" s="1" t="s">
        <v>98</v>
      </c>
      <c r="C6" s="2">
        <f>C3+C4-C5</f>
        <v>50000</v>
      </c>
      <c r="D6" s="2">
        <f t="shared" ref="D6:F6" si="2">D3+D4-D5</f>
        <v>62000</v>
      </c>
      <c r="E6" s="2">
        <f t="shared" si="2"/>
        <v>72000</v>
      </c>
      <c r="F6" s="2">
        <f t="shared" si="2"/>
        <v>82000</v>
      </c>
      <c r="G6" s="2">
        <f>SUM(C6:F6)</f>
        <v>266000</v>
      </c>
    </row>
    <row r="7" spans="1:7">
      <c r="A7" s="70" t="s">
        <v>224</v>
      </c>
      <c r="B7" s="1" t="s">
        <v>95</v>
      </c>
      <c r="C7" s="2">
        <f>销售预算!D7</f>
        <v>100000</v>
      </c>
      <c r="D7" s="2">
        <f>销售预算!E7</f>
        <v>110000</v>
      </c>
      <c r="E7" s="2">
        <f>销售预算!F7</f>
        <v>120000</v>
      </c>
      <c r="F7" s="2">
        <f>销售预算!G7</f>
        <v>130000</v>
      </c>
      <c r="G7" s="2">
        <f>SUM(C7:F7)</f>
        <v>460000</v>
      </c>
    </row>
    <row r="8" spans="1:7">
      <c r="A8" s="71"/>
      <c r="B8" s="1" t="s">
        <v>96</v>
      </c>
      <c r="C8" s="2">
        <f>C7*0.2</f>
        <v>20000</v>
      </c>
      <c r="D8" s="2">
        <f t="shared" ref="D8:F8" si="3">D7*0.2</f>
        <v>22000</v>
      </c>
      <c r="E8" s="2">
        <f t="shared" si="3"/>
        <v>24000</v>
      </c>
      <c r="F8" s="2">
        <f t="shared" si="3"/>
        <v>26000</v>
      </c>
      <c r="G8" s="2">
        <f>F8</f>
        <v>26000</v>
      </c>
    </row>
    <row r="9" spans="1:7">
      <c r="A9" s="71"/>
      <c r="B9" s="1" t="s">
        <v>97</v>
      </c>
      <c r="C9" s="2">
        <f>基础数据!B7</f>
        <v>15000</v>
      </c>
      <c r="D9" s="2">
        <f>C8</f>
        <v>20000</v>
      </c>
      <c r="E9" s="2">
        <f t="shared" ref="E9:F9" si="4">D8</f>
        <v>22000</v>
      </c>
      <c r="F9" s="2">
        <f t="shared" si="4"/>
        <v>24000</v>
      </c>
      <c r="G9" s="2">
        <f>C9</f>
        <v>15000</v>
      </c>
    </row>
    <row r="10" spans="1:7">
      <c r="A10" s="72"/>
      <c r="B10" s="1" t="s">
        <v>98</v>
      </c>
      <c r="C10" s="2">
        <f>C7+C8-C9</f>
        <v>105000</v>
      </c>
      <c r="D10" s="2">
        <f t="shared" ref="D10:F10" si="5">D7+D8-D9</f>
        <v>112000</v>
      </c>
      <c r="E10" s="2">
        <f t="shared" si="5"/>
        <v>122000</v>
      </c>
      <c r="F10" s="2">
        <f t="shared" si="5"/>
        <v>132000</v>
      </c>
      <c r="G10" s="2">
        <f>SUM(C10:F10)</f>
        <v>471000</v>
      </c>
    </row>
  </sheetData>
  <mergeCells count="2">
    <mergeCell ref="A3:A6"/>
    <mergeCell ref="A7:A10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8"/>
  <sheetViews>
    <sheetView topLeftCell="A10" zoomScale="112" zoomScaleNormal="112" workbookViewId="0">
      <selection activeCell="C4" sqref="C4"/>
    </sheetView>
  </sheetViews>
  <sheetFormatPr defaultColWidth="11" defaultRowHeight="15.6"/>
  <cols>
    <col min="1" max="1" width="19.36328125" bestFit="1" customWidth="1"/>
  </cols>
  <sheetData>
    <row r="2" spans="1:7">
      <c r="A2" s="68" t="s">
        <v>80</v>
      </c>
      <c r="B2" s="68"/>
      <c r="C2" s="63" t="s">
        <v>90</v>
      </c>
      <c r="D2" s="63" t="s">
        <v>91</v>
      </c>
      <c r="E2" s="63" t="s">
        <v>92</v>
      </c>
      <c r="F2" s="63" t="s">
        <v>93</v>
      </c>
      <c r="G2" s="63" t="s">
        <v>6</v>
      </c>
    </row>
    <row r="3" spans="1:7">
      <c r="A3" s="17" t="s">
        <v>223</v>
      </c>
      <c r="B3" s="17" t="s">
        <v>99</v>
      </c>
      <c r="C3" s="18">
        <f>生产预算!C6</f>
        <v>50000</v>
      </c>
      <c r="D3" s="18">
        <f>生产预算!D6</f>
        <v>62000</v>
      </c>
      <c r="E3" s="18">
        <f>生产预算!E6</f>
        <v>72000</v>
      </c>
      <c r="F3" s="18">
        <f>生产预算!F6</f>
        <v>82000</v>
      </c>
      <c r="G3" s="18">
        <f>SUM(C3:F3)</f>
        <v>266000</v>
      </c>
    </row>
    <row r="4" spans="1:7">
      <c r="A4" s="68" t="s">
        <v>100</v>
      </c>
      <c r="B4" s="17" t="s">
        <v>231</v>
      </c>
      <c r="C4" s="18">
        <f>基础数据!$C$20*C3</f>
        <v>200000</v>
      </c>
      <c r="D4" s="18">
        <f>基础数据!$C$20*D3</f>
        <v>248000</v>
      </c>
      <c r="E4" s="18">
        <f>基础数据!$C$20*E3</f>
        <v>288000</v>
      </c>
      <c r="F4" s="18">
        <f>基础数据!$C$20*F3</f>
        <v>328000</v>
      </c>
      <c r="G4" s="18">
        <f t="shared" ref="G4:G5" si="0">SUM(C4:F4)</f>
        <v>1064000</v>
      </c>
    </row>
    <row r="5" spans="1:7">
      <c r="A5" s="68"/>
      <c r="B5" s="18" t="s">
        <v>234</v>
      </c>
      <c r="C5" s="18">
        <f>基础数据!$D$20*C3</f>
        <v>150000</v>
      </c>
      <c r="D5" s="18">
        <f>基础数据!$D$20*D3</f>
        <v>186000</v>
      </c>
      <c r="E5" s="18">
        <f>基础数据!$D$20*E3</f>
        <v>216000</v>
      </c>
      <c r="F5" s="18">
        <f>基础数据!$D$20*F3</f>
        <v>246000</v>
      </c>
      <c r="G5" s="18">
        <f t="shared" si="0"/>
        <v>798000</v>
      </c>
    </row>
    <row r="6" spans="1:7">
      <c r="A6" s="17" t="s">
        <v>227</v>
      </c>
      <c r="B6" s="17" t="s">
        <v>99</v>
      </c>
      <c r="C6" s="18">
        <f>生产预算!C10</f>
        <v>105000</v>
      </c>
      <c r="D6" s="18">
        <f>生产预算!D10</f>
        <v>112000</v>
      </c>
      <c r="E6" s="18">
        <f>生产预算!E10</f>
        <v>122000</v>
      </c>
      <c r="F6" s="18">
        <f>生产预算!F10</f>
        <v>132000</v>
      </c>
      <c r="G6" s="18">
        <f>SUM(C6:F6)</f>
        <v>471000</v>
      </c>
    </row>
    <row r="7" spans="1:7">
      <c r="A7" s="68" t="s">
        <v>100</v>
      </c>
      <c r="B7" s="17" t="s">
        <v>231</v>
      </c>
      <c r="C7" s="18">
        <f>基础数据!$C$21*C6</f>
        <v>420000</v>
      </c>
      <c r="D7" s="18">
        <f>基础数据!$C$21*D6</f>
        <v>448000</v>
      </c>
      <c r="E7" s="18">
        <f>基础数据!$C$21*E6</f>
        <v>488000</v>
      </c>
      <c r="F7" s="18">
        <f>基础数据!$C$21*F6</f>
        <v>528000</v>
      </c>
      <c r="G7" s="18">
        <f t="shared" ref="G7:G28" si="1">SUM(C7:F7)</f>
        <v>1884000</v>
      </c>
    </row>
    <row r="8" spans="1:7">
      <c r="A8" s="68"/>
      <c r="B8" s="18" t="s">
        <v>238</v>
      </c>
      <c r="C8" s="18">
        <f>基础数据!$E$21*C6</f>
        <v>525000</v>
      </c>
      <c r="D8" s="18">
        <f>基础数据!$E$21*D6</f>
        <v>560000</v>
      </c>
      <c r="E8" s="18">
        <f>基础数据!$E$21*E6</f>
        <v>610000</v>
      </c>
      <c r="F8" s="18">
        <f>基础数据!$E$21*F6</f>
        <v>660000</v>
      </c>
      <c r="G8" s="18">
        <f t="shared" si="1"/>
        <v>2355000</v>
      </c>
    </row>
    <row r="9" spans="1:7">
      <c r="A9" s="68" t="s">
        <v>101</v>
      </c>
      <c r="B9" s="17" t="s">
        <v>232</v>
      </c>
      <c r="C9" s="18">
        <f>C4+C7</f>
        <v>620000</v>
      </c>
      <c r="D9" s="18">
        <f t="shared" ref="D9:F9" si="2">D4+D7</f>
        <v>696000</v>
      </c>
      <c r="E9" s="18">
        <f t="shared" si="2"/>
        <v>776000</v>
      </c>
      <c r="F9" s="18">
        <f t="shared" si="2"/>
        <v>856000</v>
      </c>
      <c r="G9" s="18">
        <f t="shared" si="1"/>
        <v>2948000</v>
      </c>
    </row>
    <row r="10" spans="1:7">
      <c r="A10" s="68"/>
      <c r="B10" s="18" t="s">
        <v>234</v>
      </c>
      <c r="C10" s="18">
        <f>C5</f>
        <v>150000</v>
      </c>
      <c r="D10" s="18">
        <f t="shared" ref="D10:F10" si="3">D5</f>
        <v>186000</v>
      </c>
      <c r="E10" s="18">
        <f t="shared" si="3"/>
        <v>216000</v>
      </c>
      <c r="F10" s="18">
        <f t="shared" si="3"/>
        <v>246000</v>
      </c>
      <c r="G10" s="18">
        <f t="shared" si="1"/>
        <v>798000</v>
      </c>
    </row>
    <row r="11" spans="1:7">
      <c r="A11" s="68"/>
      <c r="B11" s="18" t="s">
        <v>238</v>
      </c>
      <c r="C11" s="18">
        <f>C8</f>
        <v>525000</v>
      </c>
      <c r="D11" s="18">
        <f t="shared" ref="D11:F11" si="4">D8</f>
        <v>560000</v>
      </c>
      <c r="E11" s="18">
        <f t="shared" si="4"/>
        <v>610000</v>
      </c>
      <c r="F11" s="18">
        <f t="shared" si="4"/>
        <v>660000</v>
      </c>
      <c r="G11" s="18">
        <f t="shared" si="1"/>
        <v>2355000</v>
      </c>
    </row>
    <row r="12" spans="1:7">
      <c r="A12" s="68" t="s">
        <v>102</v>
      </c>
      <c r="B12" s="17" t="s">
        <v>230</v>
      </c>
      <c r="C12" s="18">
        <f>C9*0.1</f>
        <v>62000</v>
      </c>
      <c r="D12" s="18">
        <f t="shared" ref="D12:F12" si="5">D9*0.1</f>
        <v>69600</v>
      </c>
      <c r="E12" s="18">
        <f t="shared" si="5"/>
        <v>77600</v>
      </c>
      <c r="F12" s="18">
        <f t="shared" si="5"/>
        <v>85600</v>
      </c>
      <c r="G12" s="18">
        <f>F12</f>
        <v>85600</v>
      </c>
    </row>
    <row r="13" spans="1:7">
      <c r="A13" s="68"/>
      <c r="B13" s="18" t="s">
        <v>235</v>
      </c>
      <c r="C13" s="18">
        <f t="shared" ref="C13:F14" si="6">C10*0.1</f>
        <v>15000</v>
      </c>
      <c r="D13" s="18">
        <f t="shared" si="6"/>
        <v>18600</v>
      </c>
      <c r="E13" s="18">
        <f t="shared" si="6"/>
        <v>21600</v>
      </c>
      <c r="F13" s="18">
        <f t="shared" si="6"/>
        <v>24600</v>
      </c>
      <c r="G13" s="18">
        <f t="shared" ref="G13:G14" si="7">F13</f>
        <v>24600</v>
      </c>
    </row>
    <row r="14" spans="1:7">
      <c r="A14" s="68"/>
      <c r="B14" s="18" t="s">
        <v>240</v>
      </c>
      <c r="C14" s="18">
        <f t="shared" si="6"/>
        <v>52500</v>
      </c>
      <c r="D14" s="18">
        <f t="shared" si="6"/>
        <v>56000</v>
      </c>
      <c r="E14" s="18">
        <f t="shared" si="6"/>
        <v>61000</v>
      </c>
      <c r="F14" s="18">
        <f t="shared" si="6"/>
        <v>66000</v>
      </c>
      <c r="G14" s="18">
        <f t="shared" si="7"/>
        <v>66000</v>
      </c>
    </row>
    <row r="15" spans="1:7">
      <c r="A15" s="68" t="s">
        <v>103</v>
      </c>
      <c r="B15" s="17" t="s">
        <v>231</v>
      </c>
      <c r="C15" s="18">
        <f>基础数据!B12</f>
        <v>100000</v>
      </c>
      <c r="D15" s="18">
        <f>C12</f>
        <v>62000</v>
      </c>
      <c r="E15" s="18">
        <f t="shared" ref="E15:F15" si="8">D12</f>
        <v>69600</v>
      </c>
      <c r="F15" s="18">
        <f t="shared" si="8"/>
        <v>77600</v>
      </c>
      <c r="G15" s="18">
        <f>C15</f>
        <v>100000</v>
      </c>
    </row>
    <row r="16" spans="1:7">
      <c r="A16" s="68"/>
      <c r="B16" s="18" t="s">
        <v>236</v>
      </c>
      <c r="C16" s="18">
        <f>基础数据!C12</f>
        <v>40000</v>
      </c>
      <c r="D16" s="18">
        <f t="shared" ref="D16:F17" si="9">C13</f>
        <v>15000</v>
      </c>
      <c r="E16" s="18">
        <f t="shared" si="9"/>
        <v>18600</v>
      </c>
      <c r="F16" s="18">
        <f t="shared" si="9"/>
        <v>21600</v>
      </c>
      <c r="G16" s="18">
        <f t="shared" ref="G16:G17" si="10">C16</f>
        <v>40000</v>
      </c>
    </row>
    <row r="17" spans="1:7">
      <c r="A17" s="68"/>
      <c r="B17" s="18" t="s">
        <v>241</v>
      </c>
      <c r="C17" s="18">
        <f>基础数据!D12</f>
        <v>50000</v>
      </c>
      <c r="D17" s="18">
        <f t="shared" si="9"/>
        <v>52500</v>
      </c>
      <c r="E17" s="18">
        <f t="shared" si="9"/>
        <v>56000</v>
      </c>
      <c r="F17" s="18">
        <f t="shared" si="9"/>
        <v>61000</v>
      </c>
      <c r="G17" s="18">
        <f t="shared" si="10"/>
        <v>50000</v>
      </c>
    </row>
    <row r="18" spans="1:7">
      <c r="A18" s="68" t="s">
        <v>104</v>
      </c>
      <c r="B18" s="17" t="s">
        <v>231</v>
      </c>
      <c r="C18" s="18">
        <f>C9+C12-C15</f>
        <v>582000</v>
      </c>
      <c r="D18" s="18">
        <f t="shared" ref="D18:F18" si="11">D9+D12-D15</f>
        <v>703600</v>
      </c>
      <c r="E18" s="18">
        <f t="shared" si="11"/>
        <v>784000</v>
      </c>
      <c r="F18" s="18">
        <f t="shared" si="11"/>
        <v>864000</v>
      </c>
      <c r="G18" s="18">
        <f t="shared" si="1"/>
        <v>2933600</v>
      </c>
    </row>
    <row r="19" spans="1:7">
      <c r="A19" s="68"/>
      <c r="B19" s="18" t="s">
        <v>234</v>
      </c>
      <c r="C19" s="18">
        <f t="shared" ref="C19:F20" si="12">C10+C13-C16</f>
        <v>125000</v>
      </c>
      <c r="D19" s="18">
        <f t="shared" si="12"/>
        <v>189600</v>
      </c>
      <c r="E19" s="18">
        <f t="shared" si="12"/>
        <v>219000</v>
      </c>
      <c r="F19" s="18">
        <f t="shared" si="12"/>
        <v>249000</v>
      </c>
      <c r="G19" s="18">
        <f t="shared" si="1"/>
        <v>782600</v>
      </c>
    </row>
    <row r="20" spans="1:7">
      <c r="A20" s="68"/>
      <c r="B20" s="18" t="s">
        <v>238</v>
      </c>
      <c r="C20" s="18">
        <f t="shared" si="12"/>
        <v>527500</v>
      </c>
      <c r="D20" s="18">
        <f t="shared" si="12"/>
        <v>563500</v>
      </c>
      <c r="E20" s="18">
        <f t="shared" si="12"/>
        <v>615000</v>
      </c>
      <c r="F20" s="18">
        <f t="shared" si="12"/>
        <v>665000</v>
      </c>
      <c r="G20" s="18">
        <f t="shared" si="1"/>
        <v>2371000</v>
      </c>
    </row>
    <row r="21" spans="1:7">
      <c r="A21" s="68" t="s">
        <v>105</v>
      </c>
      <c r="B21" s="17" t="s">
        <v>233</v>
      </c>
      <c r="C21" s="18">
        <f>基础数据!$C$22*C18</f>
        <v>2910000</v>
      </c>
      <c r="D21" s="18">
        <f>基础数据!$C$22*D18</f>
        <v>3518000</v>
      </c>
      <c r="E21" s="18">
        <f>基础数据!$C$22*E18</f>
        <v>3920000</v>
      </c>
      <c r="F21" s="18">
        <f>基础数据!$C$22*F18</f>
        <v>4320000</v>
      </c>
      <c r="G21" s="18">
        <f t="shared" si="1"/>
        <v>14668000</v>
      </c>
    </row>
    <row r="22" spans="1:7">
      <c r="A22" s="68"/>
      <c r="B22" s="18" t="s">
        <v>237</v>
      </c>
      <c r="C22" s="18">
        <f>基础数据!$D$22*C19</f>
        <v>750000</v>
      </c>
      <c r="D22" s="18">
        <f>基础数据!$D$22*D19</f>
        <v>1137600</v>
      </c>
      <c r="E22" s="18">
        <f>基础数据!$D$22*E19</f>
        <v>1314000</v>
      </c>
      <c r="F22" s="18">
        <f>基础数据!$D$22*F19</f>
        <v>1494000</v>
      </c>
      <c r="G22" s="18">
        <f t="shared" si="1"/>
        <v>4695600</v>
      </c>
    </row>
    <row r="23" spans="1:7">
      <c r="A23" s="68"/>
      <c r="B23" s="18" t="s">
        <v>238</v>
      </c>
      <c r="C23" s="18">
        <f>基础数据!$E$22*C20</f>
        <v>3692500</v>
      </c>
      <c r="D23" s="18">
        <f>基础数据!$E$22*D20</f>
        <v>3944500</v>
      </c>
      <c r="E23" s="18">
        <f>基础数据!$E$22*E20</f>
        <v>4305000</v>
      </c>
      <c r="F23" s="18">
        <f>基础数据!$E$22*F20</f>
        <v>4655000</v>
      </c>
      <c r="G23" s="18">
        <f t="shared" si="1"/>
        <v>16597000</v>
      </c>
    </row>
    <row r="24" spans="1:7">
      <c r="A24" s="68"/>
      <c r="B24" s="17" t="s">
        <v>31</v>
      </c>
      <c r="C24" s="18">
        <f>SUM(C21:C23)</f>
        <v>7352500</v>
      </c>
      <c r="D24" s="18">
        <f t="shared" ref="D24:F24" si="13">SUM(D21:D23)</f>
        <v>8600100</v>
      </c>
      <c r="E24" s="18">
        <f t="shared" si="13"/>
        <v>9539000</v>
      </c>
      <c r="F24" s="18">
        <f t="shared" si="13"/>
        <v>10469000</v>
      </c>
      <c r="G24" s="18">
        <f t="shared" si="1"/>
        <v>35960600</v>
      </c>
    </row>
    <row r="25" spans="1:7">
      <c r="A25" s="68" t="s">
        <v>106</v>
      </c>
      <c r="B25" s="68"/>
      <c r="C25" s="18">
        <f>C24*基础数据!$C$14</f>
        <v>4411500</v>
      </c>
      <c r="D25" s="18">
        <f>D24*基础数据!$C$14</f>
        <v>5160060</v>
      </c>
      <c r="E25" s="18">
        <f>E24*基础数据!$C$14</f>
        <v>5723400</v>
      </c>
      <c r="F25" s="18">
        <f>F24*基础数据!$C$14</f>
        <v>6281400</v>
      </c>
      <c r="G25" s="20">
        <f>C24+D24+E24+F25</f>
        <v>31773000</v>
      </c>
    </row>
    <row r="26" spans="1:7">
      <c r="A26" s="68" t="s">
        <v>107</v>
      </c>
      <c r="B26" s="68"/>
      <c r="C26" s="18">
        <f>基础数据!D48</f>
        <v>1200000</v>
      </c>
      <c r="D26" s="18">
        <f>C24*0.4</f>
        <v>2941000</v>
      </c>
      <c r="E26" s="18">
        <f t="shared" ref="E26:F26" si="14">D24*0.4</f>
        <v>3440040</v>
      </c>
      <c r="F26" s="18">
        <f t="shared" si="14"/>
        <v>3815600</v>
      </c>
      <c r="G26" s="21">
        <f>C26</f>
        <v>1200000</v>
      </c>
    </row>
    <row r="27" spans="1:7">
      <c r="A27" s="68" t="s">
        <v>108</v>
      </c>
      <c r="B27" s="68"/>
      <c r="C27" s="18">
        <f>C25+C26</f>
        <v>5611500</v>
      </c>
      <c r="D27" s="18">
        <f t="shared" ref="D27:F27" si="15">D25+D26</f>
        <v>8101060</v>
      </c>
      <c r="E27" s="18">
        <f t="shared" si="15"/>
        <v>9163440</v>
      </c>
      <c r="F27" s="18">
        <f t="shared" si="15"/>
        <v>10097000</v>
      </c>
      <c r="G27" s="18">
        <f>G25+G26</f>
        <v>32973000</v>
      </c>
    </row>
    <row r="28" spans="1:7">
      <c r="A28" s="68" t="s">
        <v>109</v>
      </c>
      <c r="B28" s="68"/>
      <c r="C28" s="18">
        <f>C24*0.4</f>
        <v>2941000</v>
      </c>
      <c r="D28" s="18">
        <f t="shared" ref="D28:F28" si="16">D24*0.4</f>
        <v>3440040</v>
      </c>
      <c r="E28" s="18">
        <f t="shared" si="16"/>
        <v>3815600</v>
      </c>
      <c r="F28" s="18">
        <f t="shared" si="16"/>
        <v>4187600</v>
      </c>
      <c r="G28" s="21">
        <f>F28</f>
        <v>4187600</v>
      </c>
    </row>
  </sheetData>
  <mergeCells count="12">
    <mergeCell ref="A28:B28"/>
    <mergeCell ref="A2:B2"/>
    <mergeCell ref="A4:A5"/>
    <mergeCell ref="A7:A8"/>
    <mergeCell ref="A9:A11"/>
    <mergeCell ref="A12:A14"/>
    <mergeCell ref="A15:A17"/>
    <mergeCell ref="A18:A20"/>
    <mergeCell ref="A21:A24"/>
    <mergeCell ref="A25:B25"/>
    <mergeCell ref="A26:B26"/>
    <mergeCell ref="A27:B27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G11"/>
  <sheetViews>
    <sheetView zoomScale="182" zoomScaleNormal="182" workbookViewId="0">
      <selection activeCell="C10" sqref="C10"/>
    </sheetView>
  </sheetViews>
  <sheetFormatPr defaultColWidth="11" defaultRowHeight="15.6"/>
  <sheetData>
    <row r="2" spans="1:7">
      <c r="A2" s="15" t="s">
        <v>81</v>
      </c>
      <c r="B2" s="15" t="s">
        <v>53</v>
      </c>
      <c r="C2" s="15" t="s">
        <v>2</v>
      </c>
      <c r="D2" s="15" t="s">
        <v>3</v>
      </c>
      <c r="E2" s="15" t="s">
        <v>4</v>
      </c>
      <c r="F2" s="15" t="s">
        <v>5</v>
      </c>
      <c r="G2" s="22" t="s">
        <v>6</v>
      </c>
    </row>
    <row r="3" spans="1:7">
      <c r="A3" s="69" t="s">
        <v>218</v>
      </c>
      <c r="B3" s="15" t="s">
        <v>110</v>
      </c>
      <c r="C3" s="23">
        <f>生产预算!C6</f>
        <v>50000</v>
      </c>
      <c r="D3" s="23">
        <f>生产预算!D6</f>
        <v>62000</v>
      </c>
      <c r="E3" s="23">
        <f>生产预算!E6</f>
        <v>72000</v>
      </c>
      <c r="F3" s="23">
        <f>生产预算!F6</f>
        <v>82000</v>
      </c>
      <c r="G3" s="23">
        <f>SUM(C3:F3)</f>
        <v>266000</v>
      </c>
    </row>
    <row r="4" spans="1:7" ht="24">
      <c r="A4" s="69"/>
      <c r="B4" s="15" t="s">
        <v>111</v>
      </c>
      <c r="C4" s="23">
        <f>基础数据!$F$20</f>
        <v>1</v>
      </c>
      <c r="D4" s="23">
        <f>基础数据!$F$20</f>
        <v>1</v>
      </c>
      <c r="E4" s="23">
        <f>基础数据!$F$20</f>
        <v>1</v>
      </c>
      <c r="F4" s="23">
        <f>基础数据!$F$20</f>
        <v>1</v>
      </c>
      <c r="G4" s="23"/>
    </row>
    <row r="5" spans="1:7">
      <c r="A5" s="69"/>
      <c r="B5" s="15" t="s">
        <v>112</v>
      </c>
      <c r="C5" s="23">
        <f>C3*C4</f>
        <v>50000</v>
      </c>
      <c r="D5" s="23">
        <f t="shared" ref="D5:F5" si="0">D3*D4</f>
        <v>62000</v>
      </c>
      <c r="E5" s="23">
        <f t="shared" si="0"/>
        <v>72000</v>
      </c>
      <c r="F5" s="23">
        <f t="shared" si="0"/>
        <v>82000</v>
      </c>
      <c r="G5" s="23">
        <f>SUM(C5:F5)</f>
        <v>266000</v>
      </c>
    </row>
    <row r="6" spans="1:7">
      <c r="A6" s="69" t="s">
        <v>224</v>
      </c>
      <c r="B6" s="15" t="s">
        <v>110</v>
      </c>
      <c r="C6" s="23">
        <f>生产预算!C10</f>
        <v>105000</v>
      </c>
      <c r="D6" s="23">
        <f>生产预算!D10</f>
        <v>112000</v>
      </c>
      <c r="E6" s="23">
        <f>生产预算!E10</f>
        <v>122000</v>
      </c>
      <c r="F6" s="23">
        <f>生产预算!F10</f>
        <v>132000</v>
      </c>
      <c r="G6" s="23">
        <f>SUM(C6:F6)</f>
        <v>471000</v>
      </c>
    </row>
    <row r="7" spans="1:7" ht="24">
      <c r="A7" s="69"/>
      <c r="B7" s="15" t="s">
        <v>113</v>
      </c>
      <c r="C7" s="23">
        <f>基础数据!$F$21</f>
        <v>1.5</v>
      </c>
      <c r="D7" s="23">
        <f>基础数据!$F$21</f>
        <v>1.5</v>
      </c>
      <c r="E7" s="23">
        <f>基础数据!$F$21</f>
        <v>1.5</v>
      </c>
      <c r="F7" s="23">
        <f>基础数据!$F$21</f>
        <v>1.5</v>
      </c>
      <c r="G7" s="23"/>
    </row>
    <row r="8" spans="1:7">
      <c r="A8" s="69"/>
      <c r="B8" s="15" t="s">
        <v>112</v>
      </c>
      <c r="C8" s="23">
        <f>C6*C7</f>
        <v>157500</v>
      </c>
      <c r="D8" s="23">
        <f t="shared" ref="D8:F8" si="1">D6*D7</f>
        <v>168000</v>
      </c>
      <c r="E8" s="23">
        <f t="shared" si="1"/>
        <v>183000</v>
      </c>
      <c r="F8" s="23">
        <f t="shared" si="1"/>
        <v>198000</v>
      </c>
      <c r="G8" s="23">
        <f>SUM(C8:F8)</f>
        <v>706500</v>
      </c>
    </row>
    <row r="9" spans="1:7">
      <c r="A9" s="69"/>
      <c r="B9" s="15" t="s">
        <v>114</v>
      </c>
      <c r="C9" s="23">
        <f>C5+C8</f>
        <v>207500</v>
      </c>
      <c r="D9" s="23">
        <f t="shared" ref="D9:F9" si="2">D5+D8</f>
        <v>230000</v>
      </c>
      <c r="E9" s="23">
        <f t="shared" si="2"/>
        <v>255000</v>
      </c>
      <c r="F9" s="23">
        <f t="shared" si="2"/>
        <v>280000</v>
      </c>
      <c r="G9" s="23">
        <f>SUM(C9:F9)</f>
        <v>972500</v>
      </c>
    </row>
    <row r="10" spans="1:7">
      <c r="A10" s="69"/>
      <c r="B10" s="15" t="s">
        <v>115</v>
      </c>
      <c r="C10" s="23">
        <f>基础数据!$F$22</f>
        <v>8</v>
      </c>
      <c r="D10" s="23">
        <f>基础数据!$F$22</f>
        <v>8</v>
      </c>
      <c r="E10" s="23">
        <f>基础数据!$F$22</f>
        <v>8</v>
      </c>
      <c r="F10" s="23">
        <f>基础数据!$F$22</f>
        <v>8</v>
      </c>
      <c r="G10" s="23"/>
    </row>
    <row r="11" spans="1:7">
      <c r="A11" s="69"/>
      <c r="B11" s="15" t="s">
        <v>116</v>
      </c>
      <c r="C11" s="23">
        <f>C9*C10</f>
        <v>1660000</v>
      </c>
      <c r="D11" s="23">
        <f t="shared" ref="D11:F11" si="3">D9*D10</f>
        <v>1840000</v>
      </c>
      <c r="E11" s="23">
        <f t="shared" si="3"/>
        <v>2040000</v>
      </c>
      <c r="F11" s="23">
        <f t="shared" si="3"/>
        <v>2240000</v>
      </c>
      <c r="G11" s="23">
        <f>SUM(C11:F11)</f>
        <v>7780000</v>
      </c>
    </row>
  </sheetData>
  <mergeCells count="3">
    <mergeCell ref="A3:A5"/>
    <mergeCell ref="A6:A8"/>
    <mergeCell ref="A9:A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18"/>
  <sheetViews>
    <sheetView workbookViewId="0">
      <selection activeCell="F9" sqref="F9"/>
    </sheetView>
  </sheetViews>
  <sheetFormatPr defaultColWidth="11" defaultRowHeight="15.6"/>
  <sheetData>
    <row r="2" spans="1:8">
      <c r="A2" s="73" t="s">
        <v>117</v>
      </c>
      <c r="B2" s="73"/>
      <c r="C2" s="24" t="s">
        <v>2</v>
      </c>
      <c r="D2" s="24" t="s">
        <v>3</v>
      </c>
      <c r="E2" s="24" t="s">
        <v>4</v>
      </c>
      <c r="F2" s="24" t="s">
        <v>5</v>
      </c>
      <c r="G2" s="25" t="s">
        <v>6</v>
      </c>
    </row>
    <row r="3" spans="1:8">
      <c r="A3" s="74" t="s">
        <v>118</v>
      </c>
      <c r="B3" s="24" t="s">
        <v>119</v>
      </c>
      <c r="C3" s="26">
        <f>直接人工预算表!C9</f>
        <v>207500</v>
      </c>
      <c r="D3" s="26">
        <f>直接人工预算表!D9</f>
        <v>230000</v>
      </c>
      <c r="E3" s="26">
        <f>直接人工预算表!E9</f>
        <v>255000</v>
      </c>
      <c r="F3" s="26">
        <f>直接人工预算表!F9</f>
        <v>280000</v>
      </c>
      <c r="G3" s="26">
        <f>SUM(C3:F3)</f>
        <v>972500</v>
      </c>
    </row>
    <row r="4" spans="1:8">
      <c r="A4" s="75"/>
      <c r="B4" s="24" t="s">
        <v>120</v>
      </c>
      <c r="C4" s="26">
        <f>基础数据!$B$27*C3</f>
        <v>207500</v>
      </c>
      <c r="D4" s="26">
        <f>基础数据!$B$27*D3</f>
        <v>230000</v>
      </c>
      <c r="E4" s="26">
        <f>基础数据!$B$27*E3</f>
        <v>255000</v>
      </c>
      <c r="F4" s="26">
        <f>基础数据!$B$27*F3</f>
        <v>280000</v>
      </c>
      <c r="G4" s="26">
        <f t="shared" ref="G4:G7" si="0">SUM(C4:F4)</f>
        <v>972500</v>
      </c>
    </row>
    <row r="5" spans="1:8">
      <c r="A5" s="75"/>
      <c r="B5" s="24" t="s">
        <v>121</v>
      </c>
      <c r="C5" s="26">
        <f>基础数据!$C$27*C3</f>
        <v>311250</v>
      </c>
      <c r="D5" s="26">
        <f>基础数据!$C$27*D3</f>
        <v>345000</v>
      </c>
      <c r="E5" s="26">
        <f>基础数据!$C$27*E3</f>
        <v>382500</v>
      </c>
      <c r="F5" s="26">
        <f>基础数据!$C$27*F3</f>
        <v>420000</v>
      </c>
      <c r="G5" s="26">
        <f t="shared" si="0"/>
        <v>1458750</v>
      </c>
    </row>
    <row r="6" spans="1:8" ht="28.8">
      <c r="A6" s="75"/>
      <c r="B6" s="24" t="s">
        <v>122</v>
      </c>
      <c r="C6" s="26">
        <f>基础数据!$D$27*C3</f>
        <v>103750</v>
      </c>
      <c r="D6" s="26">
        <f>基础数据!$D$27*D3</f>
        <v>115000</v>
      </c>
      <c r="E6" s="26">
        <f>基础数据!$D$27*E3</f>
        <v>127500</v>
      </c>
      <c r="F6" s="26">
        <f>基础数据!$D$27*F3</f>
        <v>140000</v>
      </c>
      <c r="G6" s="26">
        <f t="shared" si="0"/>
        <v>486250</v>
      </c>
    </row>
    <row r="7" spans="1:8">
      <c r="A7" s="75"/>
      <c r="B7" s="24" t="s">
        <v>123</v>
      </c>
      <c r="C7" s="26">
        <f>SUM(C4:C6)</f>
        <v>622500</v>
      </c>
      <c r="D7" s="26">
        <f t="shared" ref="D7:F7" si="1">SUM(D4:D6)</f>
        <v>690000</v>
      </c>
      <c r="E7" s="26">
        <f t="shared" si="1"/>
        <v>765000</v>
      </c>
      <c r="F7" s="26">
        <f t="shared" si="1"/>
        <v>840000</v>
      </c>
      <c r="G7" s="26">
        <f t="shared" si="0"/>
        <v>2917500</v>
      </c>
      <c r="H7" s="79"/>
    </row>
    <row r="8" spans="1:8" ht="28.8">
      <c r="A8" s="76"/>
      <c r="B8" s="24" t="s">
        <v>124</v>
      </c>
      <c r="C8" s="26">
        <f>C7/C3</f>
        <v>3</v>
      </c>
      <c r="D8" s="26">
        <f t="shared" ref="D8:F8" si="2">D7/D3</f>
        <v>3</v>
      </c>
      <c r="E8" s="26">
        <f t="shared" si="2"/>
        <v>3</v>
      </c>
      <c r="F8" s="26">
        <f t="shared" si="2"/>
        <v>3</v>
      </c>
      <c r="G8" s="26"/>
    </row>
    <row r="9" spans="1:8">
      <c r="A9" s="74" t="s">
        <v>125</v>
      </c>
      <c r="B9" s="24" t="s">
        <v>126</v>
      </c>
      <c r="C9" s="26">
        <f>基础数据!$B$29/4</f>
        <v>200000</v>
      </c>
      <c r="D9" s="26">
        <f>基础数据!$B$29/4</f>
        <v>200000</v>
      </c>
      <c r="E9" s="26">
        <f>基础数据!$B$29/4</f>
        <v>200000</v>
      </c>
      <c r="F9" s="26">
        <f>基础数据!$B$29/4</f>
        <v>200000</v>
      </c>
      <c r="G9" s="26">
        <f>SUM(C9:F9)</f>
        <v>800000</v>
      </c>
    </row>
    <row r="10" spans="1:8">
      <c r="A10" s="75"/>
      <c r="B10" s="24" t="s">
        <v>38</v>
      </c>
      <c r="C10" s="26">
        <f>基础数据!$C$29/4</f>
        <v>150000</v>
      </c>
      <c r="D10" s="26">
        <f>基础数据!$C$29/4</f>
        <v>150000</v>
      </c>
      <c r="E10" s="26">
        <f>基础数据!$C$29/4</f>
        <v>150000</v>
      </c>
      <c r="F10" s="26">
        <f>基础数据!$C$29/4</f>
        <v>150000</v>
      </c>
      <c r="G10" s="26">
        <f t="shared" ref="G10:G18" si="3">SUM(C10:F10)</f>
        <v>600000</v>
      </c>
    </row>
    <row r="11" spans="1:8">
      <c r="A11" s="75"/>
      <c r="B11" s="24" t="s">
        <v>127</v>
      </c>
      <c r="C11" s="26">
        <f>基础数据!$D$29/4</f>
        <v>100000</v>
      </c>
      <c r="D11" s="26">
        <f>基础数据!$D$29/4</f>
        <v>100000</v>
      </c>
      <c r="E11" s="26">
        <f>基础数据!$D$29/4</f>
        <v>100000</v>
      </c>
      <c r="F11" s="26">
        <f>基础数据!$D$29/4</f>
        <v>100000</v>
      </c>
      <c r="G11" s="26">
        <f t="shared" si="3"/>
        <v>400000</v>
      </c>
    </row>
    <row r="12" spans="1:8">
      <c r="A12" s="75"/>
      <c r="B12" s="24" t="s">
        <v>123</v>
      </c>
      <c r="C12" s="26">
        <f>SUM(C9:C11)</f>
        <v>450000</v>
      </c>
      <c r="D12" s="26">
        <f t="shared" ref="D12:F12" si="4">SUM(D9:D11)</f>
        <v>450000</v>
      </c>
      <c r="E12" s="26">
        <f t="shared" si="4"/>
        <v>450000</v>
      </c>
      <c r="F12" s="26">
        <f t="shared" si="4"/>
        <v>450000</v>
      </c>
      <c r="G12" s="26">
        <f t="shared" si="3"/>
        <v>1800000</v>
      </c>
    </row>
    <row r="13" spans="1:8" ht="28.8">
      <c r="A13" s="76"/>
      <c r="B13" s="64" t="s">
        <v>128</v>
      </c>
      <c r="C13" s="27">
        <f>C12/C3</f>
        <v>2.1686746987951806</v>
      </c>
      <c r="D13" s="27">
        <f t="shared" ref="D13:F13" si="5">D12/D3</f>
        <v>1.9565217391304348</v>
      </c>
      <c r="E13" s="27">
        <f t="shared" si="5"/>
        <v>1.7647058823529411</v>
      </c>
      <c r="F13" s="27">
        <f t="shared" si="5"/>
        <v>1.6071428571428572</v>
      </c>
      <c r="G13" s="27"/>
    </row>
    <row r="14" spans="1:8">
      <c r="A14" s="73" t="s">
        <v>129</v>
      </c>
      <c r="B14" s="73"/>
      <c r="C14" s="26">
        <f>C7+C12</f>
        <v>1072500</v>
      </c>
      <c r="D14" s="26">
        <f t="shared" ref="D14:F14" si="6">D7+D12</f>
        <v>1140000</v>
      </c>
      <c r="E14" s="26">
        <f t="shared" si="6"/>
        <v>1215000</v>
      </c>
      <c r="F14" s="26">
        <f t="shared" si="6"/>
        <v>1290000</v>
      </c>
      <c r="G14" s="26">
        <f t="shared" si="3"/>
        <v>4717500</v>
      </c>
    </row>
    <row r="15" spans="1:8">
      <c r="A15" s="74" t="s">
        <v>130</v>
      </c>
      <c r="B15" s="24" t="s">
        <v>131</v>
      </c>
      <c r="C15" s="26">
        <f>C7</f>
        <v>622500</v>
      </c>
      <c r="D15" s="26">
        <f t="shared" ref="D15:F15" si="7">D7</f>
        <v>690000</v>
      </c>
      <c r="E15" s="26">
        <f t="shared" si="7"/>
        <v>765000</v>
      </c>
      <c r="F15" s="26">
        <f t="shared" si="7"/>
        <v>840000</v>
      </c>
      <c r="G15" s="26">
        <f t="shared" si="3"/>
        <v>2917500</v>
      </c>
    </row>
    <row r="16" spans="1:8">
      <c r="A16" s="75"/>
      <c r="B16" s="24" t="s">
        <v>38</v>
      </c>
      <c r="C16" s="26">
        <f>C10</f>
        <v>150000</v>
      </c>
      <c r="D16" s="26">
        <f t="shared" ref="D16:F16" si="8">D10</f>
        <v>150000</v>
      </c>
      <c r="E16" s="26">
        <f t="shared" si="8"/>
        <v>150000</v>
      </c>
      <c r="F16" s="26">
        <f t="shared" si="8"/>
        <v>150000</v>
      </c>
      <c r="G16" s="26">
        <f t="shared" si="3"/>
        <v>600000</v>
      </c>
    </row>
    <row r="17" spans="1:7">
      <c r="A17" s="75"/>
      <c r="B17" s="24" t="s">
        <v>36</v>
      </c>
      <c r="C17" s="26">
        <f>C11</f>
        <v>100000</v>
      </c>
      <c r="D17" s="26">
        <f t="shared" ref="D17:F17" si="9">D11</f>
        <v>100000</v>
      </c>
      <c r="E17" s="26">
        <f t="shared" si="9"/>
        <v>100000</v>
      </c>
      <c r="F17" s="26">
        <f t="shared" si="9"/>
        <v>100000</v>
      </c>
      <c r="G17" s="26">
        <f t="shared" si="3"/>
        <v>400000</v>
      </c>
    </row>
    <row r="18" spans="1:7">
      <c r="A18" s="76"/>
      <c r="B18" s="24" t="s">
        <v>132</v>
      </c>
      <c r="C18" s="26">
        <f>SUM(C15:C17)</f>
        <v>872500</v>
      </c>
      <c r="D18" s="26">
        <f t="shared" ref="D18:F18" si="10">SUM(D15:D17)</f>
        <v>940000</v>
      </c>
      <c r="E18" s="26">
        <f t="shared" si="10"/>
        <v>1015000</v>
      </c>
      <c r="F18" s="26">
        <f t="shared" si="10"/>
        <v>1090000</v>
      </c>
      <c r="G18" s="26">
        <f t="shared" si="3"/>
        <v>3917500</v>
      </c>
    </row>
  </sheetData>
  <mergeCells count="5">
    <mergeCell ref="A2:B2"/>
    <mergeCell ref="A3:A8"/>
    <mergeCell ref="A9:A13"/>
    <mergeCell ref="A14:B14"/>
    <mergeCell ref="A15:A18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I28"/>
  <sheetViews>
    <sheetView workbookViewId="0">
      <selection activeCell="F10" sqref="F10"/>
    </sheetView>
  </sheetViews>
  <sheetFormatPr defaultColWidth="11" defaultRowHeight="15.6"/>
  <cols>
    <col min="2" max="2" width="19.36328125" customWidth="1"/>
    <col min="3" max="7" width="13" bestFit="1" customWidth="1"/>
    <col min="9" max="9" width="14.7265625" customWidth="1"/>
  </cols>
  <sheetData>
    <row r="2" spans="1:9">
      <c r="A2" s="24" t="s">
        <v>81</v>
      </c>
      <c r="B2" s="24" t="s">
        <v>53</v>
      </c>
      <c r="C2" s="24" t="s">
        <v>2</v>
      </c>
      <c r="D2" s="24" t="s">
        <v>3</v>
      </c>
      <c r="E2" s="24" t="s">
        <v>4</v>
      </c>
      <c r="F2" s="24" t="s">
        <v>5</v>
      </c>
      <c r="G2" s="25" t="s">
        <v>6</v>
      </c>
    </row>
    <row r="3" spans="1:9">
      <c r="A3" s="73" t="s">
        <v>242</v>
      </c>
      <c r="B3" s="24" t="s">
        <v>133</v>
      </c>
      <c r="C3" s="24">
        <f>生产预算!C6</f>
        <v>50000</v>
      </c>
      <c r="D3" s="64">
        <f>生产预算!D6</f>
        <v>62000</v>
      </c>
      <c r="E3" s="64">
        <f>生产预算!E6</f>
        <v>72000</v>
      </c>
      <c r="F3" s="64">
        <f>生产预算!F6</f>
        <v>82000</v>
      </c>
      <c r="G3" s="24">
        <f>SUM(C3:F3)</f>
        <v>266000</v>
      </c>
      <c r="I3">
        <v>266000</v>
      </c>
    </row>
    <row r="4" spans="1:9">
      <c r="A4" s="73"/>
      <c r="B4" s="24" t="s">
        <v>134</v>
      </c>
      <c r="C4" s="26">
        <f>直接材料预算表!C4*基础数据!$C$22+直接材料预算表!C5*基础数据!$D$22</f>
        <v>1900000</v>
      </c>
      <c r="D4" s="26">
        <f>直接材料预算表!D4*基础数据!$C$22+直接材料预算表!D5*基础数据!$D$22</f>
        <v>2356000</v>
      </c>
      <c r="E4" s="26">
        <f>直接材料预算表!E4*基础数据!$C$22+直接材料预算表!E5*基础数据!$D$22</f>
        <v>2736000</v>
      </c>
      <c r="F4" s="26">
        <f>直接材料预算表!F4*基础数据!$C$22+直接材料预算表!F5*基础数据!$D$22</f>
        <v>3116000</v>
      </c>
      <c r="G4" s="64">
        <f>SUM(C4:F4)</f>
        <v>10108000</v>
      </c>
      <c r="I4">
        <v>10108000</v>
      </c>
    </row>
    <row r="5" spans="1:9">
      <c r="A5" s="73"/>
      <c r="B5" s="24" t="s">
        <v>135</v>
      </c>
      <c r="C5" s="26">
        <f>直接人工预算表!C5*直接人工预算表!C10</f>
        <v>400000</v>
      </c>
      <c r="D5" s="26">
        <f>直接人工预算表!D5*直接人工预算表!D10</f>
        <v>496000</v>
      </c>
      <c r="E5" s="26">
        <f>直接人工预算表!E5*直接人工预算表!E10</f>
        <v>576000</v>
      </c>
      <c r="F5" s="26">
        <f>直接人工预算表!F5*直接人工预算表!F10</f>
        <v>656000</v>
      </c>
      <c r="G5" s="64">
        <f>SUM(C5:F5)</f>
        <v>2128000</v>
      </c>
      <c r="I5">
        <v>2128000</v>
      </c>
    </row>
    <row r="6" spans="1:9">
      <c r="A6" s="73"/>
      <c r="B6" s="24" t="s">
        <v>118</v>
      </c>
      <c r="C6" s="26">
        <f>直接人工预算表!C5*基础数据!$E$27</f>
        <v>150000</v>
      </c>
      <c r="D6" s="26">
        <f>直接人工预算表!D5*基础数据!$E$27</f>
        <v>186000</v>
      </c>
      <c r="E6" s="26">
        <f>直接人工预算表!E5*基础数据!$E$27</f>
        <v>216000</v>
      </c>
      <c r="F6" s="26">
        <f>直接人工预算表!F5*基础数据!$E$27</f>
        <v>246000</v>
      </c>
      <c r="G6" s="64">
        <f>SUM(C6:F6)</f>
        <v>798000</v>
      </c>
      <c r="I6">
        <v>798000</v>
      </c>
    </row>
    <row r="7" spans="1:9">
      <c r="A7" s="73"/>
      <c r="B7" s="24" t="s">
        <v>136</v>
      </c>
      <c r="C7" s="28">
        <f>C4+C5+C6</f>
        <v>2450000</v>
      </c>
      <c r="D7" s="28">
        <f t="shared" ref="D7:F7" si="0">D4+D5+D6</f>
        <v>3038000</v>
      </c>
      <c r="E7" s="28">
        <f t="shared" si="0"/>
        <v>3528000</v>
      </c>
      <c r="F7" s="28">
        <f t="shared" si="0"/>
        <v>4018000</v>
      </c>
      <c r="G7" s="64">
        <f>SUM(C7:F7)</f>
        <v>13034000</v>
      </c>
      <c r="I7">
        <v>13034000</v>
      </c>
    </row>
    <row r="8" spans="1:9">
      <c r="A8" s="73"/>
      <c r="B8" s="24" t="s">
        <v>137</v>
      </c>
      <c r="C8" s="28">
        <f>C7/C3</f>
        <v>49</v>
      </c>
      <c r="D8" s="28">
        <f t="shared" ref="D8:F8" si="1">D7/D3</f>
        <v>49</v>
      </c>
      <c r="E8" s="28">
        <f t="shared" si="1"/>
        <v>49</v>
      </c>
      <c r="F8" s="28">
        <f t="shared" si="1"/>
        <v>49</v>
      </c>
      <c r="G8" s="28"/>
      <c r="I8">
        <v>49</v>
      </c>
    </row>
    <row r="9" spans="1:9" ht="28.8">
      <c r="A9" s="73"/>
      <c r="B9" s="24" t="s">
        <v>145</v>
      </c>
      <c r="C9" s="27">
        <f>制造费用预算表!C13*基础数据!$F$20</f>
        <v>2.1686746987951806</v>
      </c>
      <c r="D9" s="27">
        <f>制造费用预算表!D13*基础数据!$F$20</f>
        <v>1.9565217391304348</v>
      </c>
      <c r="E9" s="27">
        <f>制造费用预算表!E13*基础数据!$F$20</f>
        <v>1.7647058823529411</v>
      </c>
      <c r="F9" s="27">
        <f>制造费用预算表!F13*基础数据!$F$20</f>
        <v>1.6071428571428572</v>
      </c>
      <c r="G9" s="27"/>
    </row>
    <row r="10" spans="1:9">
      <c r="A10" s="73"/>
      <c r="B10" s="24" t="s">
        <v>146</v>
      </c>
      <c r="C10" s="27">
        <f>C8+C9</f>
        <v>51.168674698795179</v>
      </c>
      <c r="D10" s="27">
        <f t="shared" ref="D10:F10" si="2">D8+D9</f>
        <v>50.956521739130437</v>
      </c>
      <c r="E10" s="27">
        <f t="shared" si="2"/>
        <v>50.764705882352942</v>
      </c>
      <c r="F10" s="27">
        <f t="shared" si="2"/>
        <v>50.607142857142854</v>
      </c>
      <c r="G10" s="28"/>
    </row>
    <row r="11" spans="1:9">
      <c r="A11" s="73"/>
      <c r="B11" s="24" t="s">
        <v>148</v>
      </c>
      <c r="C11" s="27">
        <f>C9*C3</f>
        <v>108433.73493975903</v>
      </c>
      <c r="D11" s="27">
        <f t="shared" ref="D11:F11" si="3">D9*D3</f>
        <v>121304.34782608696</v>
      </c>
      <c r="E11" s="27">
        <f t="shared" si="3"/>
        <v>127058.82352941176</v>
      </c>
      <c r="F11" s="27">
        <f t="shared" si="3"/>
        <v>131785.71428571429</v>
      </c>
      <c r="G11" s="28"/>
    </row>
    <row r="12" spans="1:9">
      <c r="A12" s="73"/>
      <c r="B12" s="24" t="s">
        <v>147</v>
      </c>
      <c r="C12" s="27">
        <f>C7+C11</f>
        <v>2558433.7349397591</v>
      </c>
      <c r="D12" s="27">
        <f t="shared" ref="D12:F12" si="4">D7+D11</f>
        <v>3159304.3478260869</v>
      </c>
      <c r="E12" s="27">
        <f t="shared" si="4"/>
        <v>3655058.8235294116</v>
      </c>
      <c r="F12" s="27">
        <f t="shared" si="4"/>
        <v>4149785.7142857141</v>
      </c>
      <c r="G12" s="64">
        <f>SUM(C12:F12)</f>
        <v>13522582.620580971</v>
      </c>
      <c r="I12">
        <v>13522582.620580971</v>
      </c>
    </row>
    <row r="13" spans="1:9">
      <c r="A13" s="73" t="s">
        <v>243</v>
      </c>
      <c r="B13" s="24" t="s">
        <v>133</v>
      </c>
      <c r="C13" s="26">
        <f>生产预算!C10</f>
        <v>105000</v>
      </c>
      <c r="D13" s="26">
        <f>生产预算!D10</f>
        <v>112000</v>
      </c>
      <c r="E13" s="26">
        <f>生产预算!E10</f>
        <v>122000</v>
      </c>
      <c r="F13" s="26">
        <f>生产预算!F10</f>
        <v>132000</v>
      </c>
      <c r="G13" s="64">
        <f>SUM(C13:F13)</f>
        <v>471000</v>
      </c>
      <c r="I13">
        <v>471000</v>
      </c>
    </row>
    <row r="14" spans="1:9">
      <c r="A14" s="73"/>
      <c r="B14" s="24" t="s">
        <v>134</v>
      </c>
      <c r="C14" s="26">
        <f>直接材料预算表!C7*基础数据!$C$22+直接材料预算表!C8*基础数据!$E$22</f>
        <v>5775000</v>
      </c>
      <c r="D14" s="26">
        <f>直接材料预算表!D7*基础数据!$C$22+直接材料预算表!D8*基础数据!$E$22</f>
        <v>6160000</v>
      </c>
      <c r="E14" s="26">
        <f>直接材料预算表!E7*基础数据!$C$22+直接材料预算表!E8*基础数据!$E$22</f>
        <v>6710000</v>
      </c>
      <c r="F14" s="26">
        <f>直接材料预算表!F7*基础数据!$C$22+直接材料预算表!F8*基础数据!$E$22</f>
        <v>7260000</v>
      </c>
      <c r="G14" s="64">
        <f>SUM(C14:F14)</f>
        <v>25905000</v>
      </c>
      <c r="I14">
        <v>25905000</v>
      </c>
    </row>
    <row r="15" spans="1:9">
      <c r="A15" s="73"/>
      <c r="B15" s="24" t="s">
        <v>135</v>
      </c>
      <c r="C15" s="26">
        <f>直接人工预算表!C8*直接人工预算表!C10</f>
        <v>1260000</v>
      </c>
      <c r="D15" s="26">
        <f>直接人工预算表!D8*直接人工预算表!D10</f>
        <v>1344000</v>
      </c>
      <c r="E15" s="26">
        <f>直接人工预算表!E8*直接人工预算表!E10</f>
        <v>1464000</v>
      </c>
      <c r="F15" s="26">
        <f>直接人工预算表!F8*直接人工预算表!F10</f>
        <v>1584000</v>
      </c>
      <c r="G15" s="64">
        <f>SUM(C15:F15)</f>
        <v>5652000</v>
      </c>
      <c r="I15">
        <v>5652000</v>
      </c>
    </row>
    <row r="16" spans="1:9">
      <c r="A16" s="73"/>
      <c r="B16" s="24" t="s">
        <v>118</v>
      </c>
      <c r="C16" s="26">
        <f>直接人工预算表!C8*基础数据!$E$27</f>
        <v>472500</v>
      </c>
      <c r="D16" s="26">
        <f>直接人工预算表!D8*基础数据!$E$27</f>
        <v>504000</v>
      </c>
      <c r="E16" s="26">
        <f>直接人工预算表!E8*基础数据!$E$27</f>
        <v>549000</v>
      </c>
      <c r="F16" s="26">
        <f>直接人工预算表!F8*基础数据!$E$27</f>
        <v>594000</v>
      </c>
      <c r="G16" s="64">
        <f>SUM(C16:F16)</f>
        <v>2119500</v>
      </c>
      <c r="I16">
        <v>2119500</v>
      </c>
    </row>
    <row r="17" spans="1:9">
      <c r="A17" s="73"/>
      <c r="B17" s="24" t="s">
        <v>136</v>
      </c>
      <c r="C17" s="28">
        <f>C14+C15+C16</f>
        <v>7507500</v>
      </c>
      <c r="D17" s="28">
        <f t="shared" ref="D17:F17" si="5">D14+D15+D16</f>
        <v>8008000</v>
      </c>
      <c r="E17" s="28">
        <f t="shared" si="5"/>
        <v>8723000</v>
      </c>
      <c r="F17" s="28">
        <f t="shared" si="5"/>
        <v>9438000</v>
      </c>
      <c r="G17" s="64">
        <f>SUM(C17:F17)</f>
        <v>33676500</v>
      </c>
      <c r="I17">
        <v>33676500</v>
      </c>
    </row>
    <row r="18" spans="1:9">
      <c r="A18" s="73"/>
      <c r="B18" s="24" t="s">
        <v>137</v>
      </c>
      <c r="C18" s="29">
        <f>C17/C13</f>
        <v>71.5</v>
      </c>
      <c r="D18" s="29">
        <f t="shared" ref="D18:F18" si="6">D17/D13</f>
        <v>71.5</v>
      </c>
      <c r="E18" s="29">
        <f t="shared" si="6"/>
        <v>71.5</v>
      </c>
      <c r="F18" s="29">
        <f t="shared" si="6"/>
        <v>71.5</v>
      </c>
      <c r="G18" s="29"/>
      <c r="I18">
        <v>71.5</v>
      </c>
    </row>
    <row r="19" spans="1:9" ht="28.8">
      <c r="A19" s="73"/>
      <c r="B19" s="25" t="s">
        <v>145</v>
      </c>
      <c r="C19" s="33">
        <f>制造费用预算表!C13*基础数据!$F$21</f>
        <v>3.2530120481927707</v>
      </c>
      <c r="D19" s="33">
        <f>制造费用预算表!D13*基础数据!$F$21</f>
        <v>2.9347826086956523</v>
      </c>
      <c r="E19" s="33">
        <f>制造费用预算表!E13*基础数据!$F$21</f>
        <v>2.6470588235294117</v>
      </c>
      <c r="F19" s="33">
        <f>制造费用预算表!F13*基础数据!$F$21</f>
        <v>2.4107142857142856</v>
      </c>
      <c r="G19" s="33"/>
    </row>
    <row r="20" spans="1:9">
      <c r="A20" s="73"/>
      <c r="B20" s="25" t="s">
        <v>146</v>
      </c>
      <c r="C20" s="33">
        <f>C18+C19</f>
        <v>74.753012048192772</v>
      </c>
      <c r="D20" s="33">
        <f t="shared" ref="D20:F20" si="7">D18+D19</f>
        <v>74.434782608695656</v>
      </c>
      <c r="E20" s="33">
        <f t="shared" si="7"/>
        <v>74.147058823529406</v>
      </c>
      <c r="F20" s="33">
        <f t="shared" si="7"/>
        <v>73.910714285714292</v>
      </c>
      <c r="G20" s="8"/>
    </row>
    <row r="21" spans="1:9">
      <c r="A21" s="73"/>
      <c r="B21" s="25" t="s">
        <v>148</v>
      </c>
      <c r="C21" s="33">
        <f>C19*C13</f>
        <v>341566.26506024093</v>
      </c>
      <c r="D21" s="33">
        <f t="shared" ref="D21:F21" si="8">D19*D13</f>
        <v>328695.65217391308</v>
      </c>
      <c r="E21" s="33">
        <f t="shared" si="8"/>
        <v>322941.17647058825</v>
      </c>
      <c r="F21" s="33">
        <f t="shared" si="8"/>
        <v>318214.28571428568</v>
      </c>
      <c r="G21" s="8"/>
    </row>
    <row r="22" spans="1:9">
      <c r="A22" s="73"/>
      <c r="B22" s="25" t="s">
        <v>147</v>
      </c>
      <c r="C22" s="33">
        <f>C17+C21</f>
        <v>7849066.2650602413</v>
      </c>
      <c r="D22" s="33">
        <f t="shared" ref="D22:F22" si="9">D17+D21</f>
        <v>8336695.6521739131</v>
      </c>
      <c r="E22" s="33">
        <f t="shared" si="9"/>
        <v>9045941.1764705889</v>
      </c>
      <c r="F22" s="33">
        <f t="shared" si="9"/>
        <v>9756214.2857142854</v>
      </c>
      <c r="G22" s="64">
        <f>SUM(C22:F22)</f>
        <v>34987917.379419029</v>
      </c>
      <c r="I22">
        <v>34987917.379419029</v>
      </c>
    </row>
    <row r="25" spans="1:9">
      <c r="A25" t="s">
        <v>151</v>
      </c>
      <c r="B25" s="34" t="s">
        <v>149</v>
      </c>
      <c r="C25" s="35">
        <f>C12+C22</f>
        <v>10407500</v>
      </c>
      <c r="D25" s="35">
        <f t="shared" ref="D25:F25" si="10">D12+D22</f>
        <v>11496000</v>
      </c>
      <c r="E25" s="35">
        <f t="shared" si="10"/>
        <v>12701000</v>
      </c>
      <c r="F25" s="35">
        <f t="shared" si="10"/>
        <v>13906000</v>
      </c>
    </row>
    <row r="26" spans="1:9">
      <c r="B26" s="34" t="s">
        <v>150</v>
      </c>
      <c r="C26" s="35">
        <f>制造费用预算表!C12</f>
        <v>450000</v>
      </c>
      <c r="D26" s="35">
        <f>制造费用预算表!D12</f>
        <v>450000</v>
      </c>
      <c r="E26" s="35">
        <f>制造费用预算表!E12</f>
        <v>450000</v>
      </c>
      <c r="F26" s="35">
        <f>制造费用预算表!F12</f>
        <v>450000</v>
      </c>
    </row>
    <row r="27" spans="1:9">
      <c r="C27" s="35">
        <f>C25-C26</f>
        <v>9957500</v>
      </c>
      <c r="D27" s="35">
        <f t="shared" ref="D27:F27" si="11">D25-D26</f>
        <v>11046000</v>
      </c>
      <c r="E27" s="35">
        <f t="shared" si="11"/>
        <v>12251000</v>
      </c>
      <c r="F27" s="35">
        <f t="shared" si="11"/>
        <v>13456000</v>
      </c>
    </row>
    <row r="28" spans="1:9">
      <c r="C28" s="35">
        <f>C7+C17</f>
        <v>9957500</v>
      </c>
      <c r="D28" s="35">
        <f t="shared" ref="D28:F28" si="12">D7+D17</f>
        <v>11046000</v>
      </c>
      <c r="E28" s="35">
        <f t="shared" si="12"/>
        <v>12251000</v>
      </c>
      <c r="F28" s="35">
        <f t="shared" si="12"/>
        <v>13456000</v>
      </c>
    </row>
  </sheetData>
  <mergeCells count="2">
    <mergeCell ref="A13:A22"/>
    <mergeCell ref="A3:A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H21"/>
  <sheetViews>
    <sheetView zoomScale="130" zoomScaleNormal="130" workbookViewId="0">
      <selection activeCell="H21" sqref="H21"/>
    </sheetView>
  </sheetViews>
  <sheetFormatPr defaultColWidth="11" defaultRowHeight="15.6"/>
  <cols>
    <col min="2" max="2" width="13" bestFit="1" customWidth="1"/>
    <col min="3" max="6" width="12.08984375" bestFit="1" customWidth="1"/>
    <col min="7" max="7" width="16.453125" customWidth="1"/>
    <col min="8" max="8" width="23.08984375" customWidth="1"/>
  </cols>
  <sheetData>
    <row r="2" spans="1:8">
      <c r="A2" s="24" t="s">
        <v>81</v>
      </c>
      <c r="B2" s="30" t="s">
        <v>80</v>
      </c>
      <c r="C2" s="30" t="s">
        <v>90</v>
      </c>
      <c r="D2" s="30" t="s">
        <v>91</v>
      </c>
      <c r="E2" s="30" t="s">
        <v>92</v>
      </c>
      <c r="F2" s="30" t="s">
        <v>93</v>
      </c>
      <c r="G2" s="30" t="s">
        <v>6</v>
      </c>
    </row>
    <row r="3" spans="1:8">
      <c r="A3" s="67" t="s">
        <v>221</v>
      </c>
      <c r="B3" s="31" t="s">
        <v>138</v>
      </c>
      <c r="C3" s="32">
        <f>销售预算!D4</f>
        <v>50000</v>
      </c>
      <c r="D3" s="32">
        <f>销售预算!E4</f>
        <v>60000</v>
      </c>
      <c r="E3" s="32">
        <f>销售预算!F4</f>
        <v>70000</v>
      </c>
      <c r="F3" s="32">
        <f>销售预算!G4</f>
        <v>80000</v>
      </c>
      <c r="G3" s="32">
        <f>SUM(C3:F3)</f>
        <v>260000</v>
      </c>
    </row>
    <row r="4" spans="1:8">
      <c r="A4" s="77"/>
      <c r="B4" s="31" t="s">
        <v>139</v>
      </c>
      <c r="C4" s="32">
        <f>生产预算!C5</f>
        <v>10000</v>
      </c>
      <c r="D4" s="32">
        <f>生产预算!D5</f>
        <v>10000</v>
      </c>
      <c r="E4" s="32">
        <f>生产预算!E5</f>
        <v>12000</v>
      </c>
      <c r="F4" s="32">
        <f>生产预算!F5</f>
        <v>14000</v>
      </c>
      <c r="G4" s="32">
        <f>C4</f>
        <v>10000</v>
      </c>
    </row>
    <row r="5" spans="1:8">
      <c r="A5" s="77"/>
      <c r="B5" s="31" t="s">
        <v>140</v>
      </c>
      <c r="C5" s="32">
        <f>生产预算!C4</f>
        <v>10000</v>
      </c>
      <c r="D5" s="32">
        <f>生产预算!D4</f>
        <v>12000</v>
      </c>
      <c r="E5" s="32">
        <f>生产预算!E4</f>
        <v>14000</v>
      </c>
      <c r="F5" s="32">
        <f>生产预算!F4</f>
        <v>16000</v>
      </c>
      <c r="G5" s="32">
        <f>F5</f>
        <v>16000</v>
      </c>
    </row>
    <row r="6" spans="1:8">
      <c r="A6" s="77"/>
      <c r="B6" s="31" t="s">
        <v>141</v>
      </c>
      <c r="C6" s="36">
        <f>C4*基础数据!D6</f>
        <v>500000</v>
      </c>
      <c r="D6" s="36">
        <f>D4*生产成本预算表!C10</f>
        <v>511686.7469879518</v>
      </c>
      <c r="E6" s="36">
        <f>E4*生产成本预算表!D10</f>
        <v>611478.2608695653</v>
      </c>
      <c r="F6" s="36">
        <f>F4*生产成本预算表!E10</f>
        <v>710705.8823529412</v>
      </c>
      <c r="G6" s="36">
        <f>C6</f>
        <v>500000</v>
      </c>
    </row>
    <row r="7" spans="1:8">
      <c r="A7" s="77"/>
      <c r="B7" s="31" t="s">
        <v>142</v>
      </c>
      <c r="C7" s="36">
        <f>生产成本预算表!C12</f>
        <v>2558433.7349397591</v>
      </c>
      <c r="D7" s="36">
        <f>生产成本预算表!D12</f>
        <v>3159304.3478260869</v>
      </c>
      <c r="E7" s="36">
        <f>生产成本预算表!E12</f>
        <v>3655058.8235294116</v>
      </c>
      <c r="F7" s="36">
        <f>生产成本预算表!F12</f>
        <v>4149785.7142857141</v>
      </c>
      <c r="G7" s="32">
        <f>SUM(C7:F7)</f>
        <v>13522582.620580971</v>
      </c>
    </row>
    <row r="8" spans="1:8">
      <c r="A8" s="77"/>
      <c r="B8" s="31" t="s">
        <v>143</v>
      </c>
      <c r="C8" s="36">
        <f>C5*生产成本预算表!C10</f>
        <v>511686.7469879518</v>
      </c>
      <c r="D8" s="36">
        <f>D5*生产成本预算表!D10</f>
        <v>611478.2608695653</v>
      </c>
      <c r="E8" s="36">
        <f>E5*生产成本预算表!E10</f>
        <v>710705.8823529412</v>
      </c>
      <c r="F8" s="36">
        <f>F5*生产成本预算表!F10</f>
        <v>809714.28571428568</v>
      </c>
      <c r="G8" s="36">
        <f>F8</f>
        <v>809714.28571428568</v>
      </c>
    </row>
    <row r="9" spans="1:8">
      <c r="A9" s="77"/>
      <c r="B9" s="31" t="s">
        <v>144</v>
      </c>
      <c r="C9" s="36">
        <f>C6+C7-C8</f>
        <v>2546746.9879518072</v>
      </c>
      <c r="D9" s="36">
        <f t="shared" ref="D9:F9" si="0">D6+D7-D8</f>
        <v>3059512.8339444734</v>
      </c>
      <c r="E9" s="36">
        <f t="shared" si="0"/>
        <v>3555831.2020460353</v>
      </c>
      <c r="F9" s="36">
        <f t="shared" si="0"/>
        <v>4050777.3109243698</v>
      </c>
      <c r="G9" s="36">
        <f>SUM(C9:F9)</f>
        <v>13212868.334866686</v>
      </c>
      <c r="H9" s="60"/>
    </row>
    <row r="10" spans="1:8">
      <c r="A10" s="67" t="s">
        <v>228</v>
      </c>
      <c r="B10" s="31" t="s">
        <v>138</v>
      </c>
      <c r="C10" s="32">
        <f>生产预算!C7</f>
        <v>100000</v>
      </c>
      <c r="D10" s="32">
        <f>生产预算!D7</f>
        <v>110000</v>
      </c>
      <c r="E10" s="32">
        <f>生产预算!E7</f>
        <v>120000</v>
      </c>
      <c r="F10" s="32">
        <f>生产预算!F7</f>
        <v>130000</v>
      </c>
      <c r="G10" s="32">
        <f>SUM(C10:F10)</f>
        <v>460000</v>
      </c>
    </row>
    <row r="11" spans="1:8">
      <c r="A11" s="77"/>
      <c r="B11" s="31" t="s">
        <v>139</v>
      </c>
      <c r="C11" s="32">
        <f>生产预算!C9</f>
        <v>15000</v>
      </c>
      <c r="D11" s="32">
        <f>生产预算!D9</f>
        <v>20000</v>
      </c>
      <c r="E11" s="32">
        <f>生产预算!E9</f>
        <v>22000</v>
      </c>
      <c r="F11" s="32">
        <f>生产预算!F9</f>
        <v>24000</v>
      </c>
      <c r="G11" s="32">
        <f>C11</f>
        <v>15000</v>
      </c>
    </row>
    <row r="12" spans="1:8">
      <c r="A12" s="77"/>
      <c r="B12" s="31" t="s">
        <v>140</v>
      </c>
      <c r="C12" s="32">
        <f>生产预算!C8</f>
        <v>20000</v>
      </c>
      <c r="D12" s="32">
        <f>生产预算!D8</f>
        <v>22000</v>
      </c>
      <c r="E12" s="32">
        <f>生产预算!E8</f>
        <v>24000</v>
      </c>
      <c r="F12" s="32">
        <f>生产预算!F8</f>
        <v>26000</v>
      </c>
      <c r="G12" s="32">
        <f>F12</f>
        <v>26000</v>
      </c>
    </row>
    <row r="13" spans="1:8">
      <c r="A13" s="77"/>
      <c r="B13" s="31" t="s">
        <v>141</v>
      </c>
      <c r="C13" s="36">
        <f>C11*基础数据!D7</f>
        <v>1050000</v>
      </c>
      <c r="D13" s="36">
        <f>D11*生产成本预算表!C20</f>
        <v>1495060.2409638555</v>
      </c>
      <c r="E13" s="36">
        <f>E11*生产成本预算表!D20</f>
        <v>1637565.2173913044</v>
      </c>
      <c r="F13" s="36">
        <f>F11*生产成本预算表!E20</f>
        <v>1779529.4117647058</v>
      </c>
      <c r="G13" s="32">
        <f>C13</f>
        <v>1050000</v>
      </c>
    </row>
    <row r="14" spans="1:8">
      <c r="A14" s="77"/>
      <c r="B14" s="31" t="s">
        <v>142</v>
      </c>
      <c r="C14" s="36">
        <f>生产成本预算表!C22</f>
        <v>7849066.2650602413</v>
      </c>
      <c r="D14" s="36">
        <f>生产成本预算表!D22</f>
        <v>8336695.6521739131</v>
      </c>
      <c r="E14" s="36">
        <f>生产成本预算表!E22</f>
        <v>9045941.1764705889</v>
      </c>
      <c r="F14" s="36">
        <f>生产成本预算表!F22</f>
        <v>9756214.2857142854</v>
      </c>
      <c r="G14" s="32">
        <f>SUM(C14:F14)</f>
        <v>34987917.379419029</v>
      </c>
    </row>
    <row r="15" spans="1:8">
      <c r="A15" s="77"/>
      <c r="B15" s="31" t="s">
        <v>143</v>
      </c>
      <c r="C15" s="36">
        <f>C12*生产成本预算表!C20</f>
        <v>1495060.2409638555</v>
      </c>
      <c r="D15" s="36">
        <f>D12*生产成本预算表!D20</f>
        <v>1637565.2173913044</v>
      </c>
      <c r="E15" s="36">
        <f>E12*生产成本预算表!E20</f>
        <v>1779529.4117647058</v>
      </c>
      <c r="F15" s="36">
        <f>F12*生产成本预算表!F20</f>
        <v>1921678.5714285716</v>
      </c>
      <c r="G15" s="32">
        <f>F15</f>
        <v>1921678.5714285716</v>
      </c>
    </row>
    <row r="16" spans="1:8">
      <c r="A16" s="77"/>
      <c r="B16" s="31" t="s">
        <v>144</v>
      </c>
      <c r="C16" s="36">
        <f>C13+C14-C15</f>
        <v>7404006.0240963865</v>
      </c>
      <c r="D16" s="36">
        <f t="shared" ref="D16:F16" si="1">D13+D14-D15</f>
        <v>8194190.6757464632</v>
      </c>
      <c r="E16" s="36">
        <f t="shared" si="1"/>
        <v>8903976.982097188</v>
      </c>
      <c r="F16" s="36">
        <f t="shared" si="1"/>
        <v>9614065.1260504201</v>
      </c>
      <c r="G16" s="36">
        <f>SUM(C16:F16)</f>
        <v>34116238.807990462</v>
      </c>
      <c r="H16" s="60"/>
    </row>
    <row r="17" spans="1:7" s="40" customFormat="1">
      <c r="A17" s="37"/>
      <c r="B17" s="37"/>
      <c r="C17" s="38"/>
      <c r="D17" s="38"/>
      <c r="E17" s="38"/>
      <c r="F17" s="38"/>
      <c r="G17" s="39"/>
    </row>
    <row r="21" spans="1:7">
      <c r="G21" s="60">
        <f>G13+G14-G15</f>
        <v>34116238.807990454</v>
      </c>
    </row>
  </sheetData>
  <mergeCells count="2">
    <mergeCell ref="A3:A9"/>
    <mergeCell ref="A10:A16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F8"/>
  <sheetViews>
    <sheetView workbookViewId="0">
      <selection activeCell="G8" sqref="G8"/>
    </sheetView>
  </sheetViews>
  <sheetFormatPr defaultColWidth="11" defaultRowHeight="15.6"/>
  <cols>
    <col min="1" max="1" width="12.08984375" customWidth="1"/>
  </cols>
  <sheetData>
    <row r="2" spans="1:6" ht="17.100000000000001" customHeight="1">
      <c r="A2" s="24" t="s">
        <v>53</v>
      </c>
      <c r="B2" s="24" t="s">
        <v>2</v>
      </c>
      <c r="C2" s="24" t="s">
        <v>3</v>
      </c>
      <c r="D2" s="24" t="s">
        <v>4</v>
      </c>
      <c r="E2" s="24" t="s">
        <v>5</v>
      </c>
      <c r="F2" s="25" t="s">
        <v>6</v>
      </c>
    </row>
    <row r="3" spans="1:6" ht="17.100000000000001" customHeight="1">
      <c r="A3" s="41" t="s">
        <v>152</v>
      </c>
      <c r="B3" s="42">
        <f>基础数据!$C$35/4</f>
        <v>200000</v>
      </c>
      <c r="C3" s="42">
        <f>基础数据!$C$35/4</f>
        <v>200000</v>
      </c>
      <c r="D3" s="42">
        <f>基础数据!$C$35/4</f>
        <v>200000</v>
      </c>
      <c r="E3" s="42">
        <f>基础数据!$C$35/4</f>
        <v>200000</v>
      </c>
      <c r="F3" s="42">
        <f>SUM(B3:E3)</f>
        <v>800000</v>
      </c>
    </row>
    <row r="4" spans="1:6" ht="17.100000000000001" customHeight="1">
      <c r="A4" s="41" t="s">
        <v>126</v>
      </c>
      <c r="B4" s="42">
        <f>基础数据!$D$35/4</f>
        <v>50000</v>
      </c>
      <c r="C4" s="42">
        <f>基础数据!$D$35/4</f>
        <v>50000</v>
      </c>
      <c r="D4" s="42">
        <f>基础数据!$D$35/4</f>
        <v>50000</v>
      </c>
      <c r="E4" s="42">
        <f>基础数据!$D$35/4</f>
        <v>50000</v>
      </c>
      <c r="F4" s="42">
        <f t="shared" ref="F4:F8" si="0">SUM(B4:E4)</f>
        <v>200000</v>
      </c>
    </row>
    <row r="5" spans="1:6" ht="17.100000000000001" customHeight="1">
      <c r="A5" s="41" t="s">
        <v>153</v>
      </c>
      <c r="B5" s="42">
        <f>基础数据!$E$35/4</f>
        <v>50000</v>
      </c>
      <c r="C5" s="42">
        <f>基础数据!$E$35/4</f>
        <v>50000</v>
      </c>
      <c r="D5" s="42">
        <f>基础数据!$E$35/4</f>
        <v>50000</v>
      </c>
      <c r="E5" s="42">
        <f>基础数据!$E$35/4</f>
        <v>50000</v>
      </c>
      <c r="F5" s="42">
        <f t="shared" si="0"/>
        <v>200000</v>
      </c>
    </row>
    <row r="6" spans="1:6" ht="17.100000000000001" customHeight="1">
      <c r="A6" s="41" t="s">
        <v>154</v>
      </c>
      <c r="B6" s="42">
        <f>基础数据!$F$35/4</f>
        <v>40000</v>
      </c>
      <c r="C6" s="42">
        <f>基础数据!$F$35/4</f>
        <v>40000</v>
      </c>
      <c r="D6" s="42">
        <f>基础数据!$F$35/4</f>
        <v>40000</v>
      </c>
      <c r="E6" s="42">
        <f>基础数据!$F$35/4</f>
        <v>40000</v>
      </c>
      <c r="F6" s="42">
        <f t="shared" si="0"/>
        <v>160000</v>
      </c>
    </row>
    <row r="7" spans="1:6" ht="17.100000000000001" customHeight="1">
      <c r="A7" s="41" t="s">
        <v>123</v>
      </c>
      <c r="B7" s="42">
        <f>SUM(B3:B6)</f>
        <v>340000</v>
      </c>
      <c r="C7" s="42">
        <f t="shared" ref="C7:E7" si="1">SUM(C3:C6)</f>
        <v>340000</v>
      </c>
      <c r="D7" s="42">
        <f t="shared" si="1"/>
        <v>340000</v>
      </c>
      <c r="E7" s="42">
        <f t="shared" si="1"/>
        <v>340000</v>
      </c>
      <c r="F7" s="42">
        <f t="shared" si="0"/>
        <v>1360000</v>
      </c>
    </row>
    <row r="8" spans="1:6" ht="17.100000000000001" customHeight="1">
      <c r="A8" s="41" t="s">
        <v>130</v>
      </c>
      <c r="B8" s="42">
        <f>B7-B4</f>
        <v>290000</v>
      </c>
      <c r="C8" s="42">
        <f t="shared" ref="C8:D8" si="2">C7-C4</f>
        <v>290000</v>
      </c>
      <c r="D8" s="42">
        <f t="shared" si="2"/>
        <v>290000</v>
      </c>
      <c r="E8" s="42">
        <f>E7-E4</f>
        <v>290000</v>
      </c>
      <c r="F8" s="42">
        <f t="shared" si="0"/>
        <v>1160000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F9"/>
  <sheetViews>
    <sheetView workbookViewId="0">
      <selection activeCell="G8" sqref="G8"/>
    </sheetView>
  </sheetViews>
  <sheetFormatPr defaultColWidth="11" defaultRowHeight="15.6"/>
  <cols>
    <col min="1" max="1" width="16.453125" customWidth="1"/>
  </cols>
  <sheetData>
    <row r="2" spans="1:6" ht="24.9" customHeight="1">
      <c r="A2" s="41" t="s">
        <v>53</v>
      </c>
      <c r="B2" s="41" t="s">
        <v>2</v>
      </c>
      <c r="C2" s="41" t="s">
        <v>3</v>
      </c>
      <c r="D2" s="41" t="s">
        <v>4</v>
      </c>
      <c r="E2" s="41" t="s">
        <v>5</v>
      </c>
      <c r="F2" s="25" t="s">
        <v>6</v>
      </c>
    </row>
    <row r="3" spans="1:6" ht="24.9" customHeight="1">
      <c r="A3" s="41" t="s">
        <v>37</v>
      </c>
      <c r="B3" s="42"/>
      <c r="C3" s="42"/>
      <c r="D3" s="42"/>
      <c r="E3" s="42"/>
      <c r="F3" s="8"/>
    </row>
    <row r="4" spans="1:6" ht="24.9" customHeight="1">
      <c r="A4" s="41" t="s">
        <v>155</v>
      </c>
      <c r="B4" s="42">
        <f>销售预算!D10*基础数据!$C$32</f>
        <v>700000</v>
      </c>
      <c r="C4" s="42">
        <f>销售预算!E10*基础数据!$C$32</f>
        <v>790000</v>
      </c>
      <c r="D4" s="42">
        <f>销售预算!F10*基础数据!$C$32</f>
        <v>880000</v>
      </c>
      <c r="E4" s="42">
        <f>销售预算!G10*基础数据!$C$32</f>
        <v>970000</v>
      </c>
      <c r="F4" s="42">
        <f>SUM(B4:E4)</f>
        <v>3340000</v>
      </c>
    </row>
    <row r="5" spans="1:6" ht="24.9" customHeight="1">
      <c r="A5" s="41" t="s">
        <v>39</v>
      </c>
      <c r="B5" s="42"/>
      <c r="C5" s="42"/>
      <c r="D5" s="42"/>
      <c r="E5" s="42"/>
      <c r="F5" s="41"/>
    </row>
    <row r="6" spans="1:6" ht="24.9" customHeight="1">
      <c r="A6" s="41" t="s">
        <v>156</v>
      </c>
      <c r="B6" s="42">
        <f>基础数据!$C$33/4</f>
        <v>50000</v>
      </c>
      <c r="C6" s="42">
        <f>基础数据!$C$33/4</f>
        <v>50000</v>
      </c>
      <c r="D6" s="42">
        <f>基础数据!$C$33/4</f>
        <v>50000</v>
      </c>
      <c r="E6" s="42">
        <f>基础数据!$C$33/4</f>
        <v>50000</v>
      </c>
      <c r="F6" s="42">
        <f>SUM(B6:E6)</f>
        <v>200000</v>
      </c>
    </row>
    <row r="7" spans="1:6" ht="24.9" customHeight="1">
      <c r="A7" s="41" t="s">
        <v>127</v>
      </c>
      <c r="B7" s="42">
        <f>基础数据!$E$33/4</f>
        <v>40000</v>
      </c>
      <c r="C7" s="42">
        <f>基础数据!$E$33/4</f>
        <v>40000</v>
      </c>
      <c r="D7" s="42">
        <f>基础数据!$E$33/4</f>
        <v>40000</v>
      </c>
      <c r="E7" s="42">
        <f>基础数据!$E$33/4</f>
        <v>40000</v>
      </c>
      <c r="F7" s="42">
        <f>SUM(B7:E7)</f>
        <v>160000</v>
      </c>
    </row>
    <row r="8" spans="1:6" ht="24.9" customHeight="1">
      <c r="A8" s="41" t="s">
        <v>123</v>
      </c>
      <c r="B8" s="42">
        <f>B4+B6+B7</f>
        <v>790000</v>
      </c>
      <c r="C8" s="42">
        <f t="shared" ref="C8:E9" si="0">C4+C6+C7</f>
        <v>880000</v>
      </c>
      <c r="D8" s="42">
        <f t="shared" si="0"/>
        <v>970000</v>
      </c>
      <c r="E8" s="42">
        <f t="shared" si="0"/>
        <v>1060000</v>
      </c>
      <c r="F8" s="42">
        <f>SUM(B8:E8)</f>
        <v>3700000</v>
      </c>
    </row>
    <row r="9" spans="1:6" ht="24.9" customHeight="1">
      <c r="A9" s="41" t="s">
        <v>157</v>
      </c>
      <c r="B9" s="42">
        <f>B8</f>
        <v>790000</v>
      </c>
      <c r="C9" s="42">
        <f t="shared" ref="C9:E9" si="1">C8</f>
        <v>880000</v>
      </c>
      <c r="D9" s="42">
        <f t="shared" si="1"/>
        <v>970000</v>
      </c>
      <c r="E9" s="42">
        <f t="shared" si="1"/>
        <v>1060000</v>
      </c>
      <c r="F9" s="42">
        <f>SUM(B9:E9)</f>
        <v>3700000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F5"/>
  <sheetViews>
    <sheetView workbookViewId="0">
      <selection activeCell="B12" sqref="B12"/>
    </sheetView>
  </sheetViews>
  <sheetFormatPr defaultColWidth="11" defaultRowHeight="15.6"/>
  <cols>
    <col min="1" max="1" width="15" customWidth="1"/>
  </cols>
  <sheetData>
    <row r="2" spans="1:6" ht="18.899999999999999" customHeight="1">
      <c r="A2" s="41" t="s">
        <v>53</v>
      </c>
      <c r="B2" s="41" t="s">
        <v>2</v>
      </c>
      <c r="C2" s="41" t="s">
        <v>3</v>
      </c>
      <c r="D2" s="41" t="s">
        <v>4</v>
      </c>
      <c r="E2" s="41" t="s">
        <v>5</v>
      </c>
      <c r="F2" s="25" t="s">
        <v>6</v>
      </c>
    </row>
    <row r="3" spans="1:6" ht="18.899999999999999" customHeight="1">
      <c r="A3" s="43" t="s">
        <v>158</v>
      </c>
      <c r="B3" s="8"/>
      <c r="C3" s="8"/>
      <c r="D3" s="8"/>
      <c r="E3" s="8"/>
      <c r="F3" s="8"/>
    </row>
    <row r="4" spans="1:6" ht="18.899999999999999" customHeight="1">
      <c r="A4" s="43" t="s">
        <v>159</v>
      </c>
      <c r="B4" s="8">
        <f>基础数据!B42</f>
        <v>5000000</v>
      </c>
      <c r="C4" s="8"/>
      <c r="D4" s="8"/>
      <c r="E4" s="8"/>
      <c r="F4" s="8">
        <f>B4</f>
        <v>5000000</v>
      </c>
    </row>
    <row r="5" spans="1:6" ht="18.899999999999999" customHeight="1">
      <c r="A5" s="43" t="s">
        <v>160</v>
      </c>
      <c r="B5" s="8">
        <f>B4</f>
        <v>5000000</v>
      </c>
      <c r="C5" s="8"/>
      <c r="D5" s="8"/>
      <c r="E5" s="8"/>
      <c r="F5" s="8">
        <f>B5</f>
        <v>5000000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F9"/>
  <sheetViews>
    <sheetView zoomScale="164" zoomScaleNormal="164" workbookViewId="0">
      <selection activeCell="B9" sqref="B9"/>
    </sheetView>
  </sheetViews>
  <sheetFormatPr defaultColWidth="11" defaultRowHeight="15.6"/>
  <cols>
    <col min="2" max="2" width="11.36328125" bestFit="1" customWidth="1"/>
  </cols>
  <sheetData>
    <row r="2" spans="1:6">
      <c r="A2" s="44" t="s">
        <v>161</v>
      </c>
      <c r="B2" s="19"/>
      <c r="C2" s="19"/>
      <c r="D2" s="19"/>
      <c r="E2" s="19"/>
      <c r="F2" s="19"/>
    </row>
    <row r="3" spans="1:6">
      <c r="A3" s="45" t="s">
        <v>53</v>
      </c>
      <c r="B3" s="46" t="s">
        <v>90</v>
      </c>
      <c r="C3" s="46" t="s">
        <v>91</v>
      </c>
      <c r="D3" s="46" t="s">
        <v>92</v>
      </c>
      <c r="E3" s="46" t="s">
        <v>93</v>
      </c>
      <c r="F3" s="47" t="s">
        <v>162</v>
      </c>
    </row>
    <row r="4" spans="1:6">
      <c r="A4" s="48" t="s">
        <v>163</v>
      </c>
      <c r="B4" s="49">
        <f>销售预算!D10</f>
        <v>14000000</v>
      </c>
      <c r="C4" s="49">
        <f>销售预算!E10</f>
        <v>15800000</v>
      </c>
      <c r="D4" s="49">
        <f>销售预算!F10</f>
        <v>17600000</v>
      </c>
      <c r="E4" s="49">
        <f>销售预算!G10</f>
        <v>19400000</v>
      </c>
      <c r="F4" s="49">
        <f>SUM(B4:E4)</f>
        <v>66800000</v>
      </c>
    </row>
    <row r="5" spans="1:6">
      <c r="A5" s="48" t="s">
        <v>164</v>
      </c>
      <c r="B5" s="49">
        <f>销售成本预算表!C9+销售成本预算表!C16</f>
        <v>9950753.0120481942</v>
      </c>
      <c r="C5" s="49">
        <f>销售成本预算表!D9+销售成本预算表!D16</f>
        <v>11253703.509690937</v>
      </c>
      <c r="D5" s="49">
        <f>销售成本预算表!E9+销售成本预算表!E16</f>
        <v>12459808.184143223</v>
      </c>
      <c r="E5" s="49">
        <f>销售成本预算表!F9+销售成本预算表!F16</f>
        <v>13664842.43697479</v>
      </c>
      <c r="F5" s="49">
        <f>SUM(B5:E5)</f>
        <v>47329107.142857149</v>
      </c>
    </row>
    <row r="6" spans="1:6">
      <c r="A6" s="50" t="s">
        <v>165</v>
      </c>
      <c r="B6" s="49">
        <f>销售费用预算!B8</f>
        <v>790000</v>
      </c>
      <c r="C6" s="49">
        <f>销售费用预算!C8</f>
        <v>880000</v>
      </c>
      <c r="D6" s="49">
        <f>销售费用预算!D8</f>
        <v>970000</v>
      </c>
      <c r="E6" s="49">
        <f>销售费用预算!E8</f>
        <v>1060000</v>
      </c>
      <c r="F6" s="49">
        <f t="shared" ref="F6:F9" si="0">SUM(B6:E6)</f>
        <v>3700000</v>
      </c>
    </row>
    <row r="7" spans="1:6">
      <c r="A7" s="50" t="s">
        <v>166</v>
      </c>
      <c r="B7" s="49">
        <f>管理费用预算!B7</f>
        <v>340000</v>
      </c>
      <c r="C7" s="49">
        <f>管理费用预算!C7</f>
        <v>340000</v>
      </c>
      <c r="D7" s="49">
        <f>管理费用预算!D7</f>
        <v>340000</v>
      </c>
      <c r="E7" s="49">
        <f>管理费用预算!E7</f>
        <v>340000</v>
      </c>
      <c r="F7" s="49">
        <f t="shared" si="0"/>
        <v>1360000</v>
      </c>
    </row>
    <row r="8" spans="1:6">
      <c r="A8" s="48" t="s">
        <v>167</v>
      </c>
      <c r="B8" s="49">
        <f>B4-B5-B6-B7</f>
        <v>2919246.9879518058</v>
      </c>
      <c r="C8" s="49">
        <f t="shared" ref="C8:E8" si="1">C4-C5-C6-C7</f>
        <v>3326296.4903090633</v>
      </c>
      <c r="D8" s="49">
        <f t="shared" si="1"/>
        <v>3830191.8158567771</v>
      </c>
      <c r="E8" s="49">
        <f t="shared" si="1"/>
        <v>4335157.5630252101</v>
      </c>
      <c r="F8" s="49">
        <f t="shared" si="0"/>
        <v>14410892.857142856</v>
      </c>
    </row>
    <row r="9" spans="1:6">
      <c r="A9" s="48" t="s">
        <v>168</v>
      </c>
      <c r="B9" s="49">
        <f>B8*0.25</f>
        <v>729811.74698795145</v>
      </c>
      <c r="C9" s="49">
        <f t="shared" ref="C9:E9" si="2">C8*0.25</f>
        <v>831574.12257726584</v>
      </c>
      <c r="D9" s="49">
        <f t="shared" si="2"/>
        <v>957547.95396419428</v>
      </c>
      <c r="E9" s="49">
        <f t="shared" si="2"/>
        <v>1083789.3907563025</v>
      </c>
      <c r="F9" s="49">
        <f t="shared" si="0"/>
        <v>3602723.2142857141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3"/>
  <sheetViews>
    <sheetView zoomScale="124" zoomScaleNormal="124" workbookViewId="0">
      <selection activeCell="B6" sqref="B6:E6"/>
    </sheetView>
  </sheetViews>
  <sheetFormatPr defaultColWidth="11" defaultRowHeight="15.6"/>
  <cols>
    <col min="1" max="1" width="17" customWidth="1"/>
    <col min="2" max="2" width="11.08984375" bestFit="1" customWidth="1"/>
    <col min="6" max="6" width="11.08984375" bestFit="1" customWidth="1"/>
    <col min="7" max="7" width="13.81640625" customWidth="1"/>
  </cols>
  <sheetData>
    <row r="1" spans="1:6">
      <c r="A1" s="44" t="s">
        <v>169</v>
      </c>
      <c r="B1" s="19"/>
      <c r="C1" s="19"/>
      <c r="D1" s="19"/>
      <c r="E1" s="19"/>
      <c r="F1" s="19"/>
    </row>
    <row r="2" spans="1:6">
      <c r="A2" s="1" t="s">
        <v>53</v>
      </c>
      <c r="B2" s="51" t="s">
        <v>90</v>
      </c>
      <c r="C2" s="51" t="s">
        <v>91</v>
      </c>
      <c r="D2" s="51" t="s">
        <v>92</v>
      </c>
      <c r="E2" s="51" t="s">
        <v>93</v>
      </c>
      <c r="F2" s="51" t="s">
        <v>162</v>
      </c>
    </row>
    <row r="3" spans="1:6">
      <c r="A3" s="1" t="s">
        <v>170</v>
      </c>
      <c r="B3" s="52">
        <f>基础数据!B47</f>
        <v>1000000</v>
      </c>
      <c r="C3" s="52">
        <f>B21</f>
        <v>1000000</v>
      </c>
      <c r="D3" s="52">
        <f>C21</f>
        <v>2394018.2530120481</v>
      </c>
      <c r="E3" s="52">
        <f>D21</f>
        <v>5073894.1304347813</v>
      </c>
      <c r="F3" s="82">
        <f>B3</f>
        <v>1000000</v>
      </c>
    </row>
    <row r="4" spans="1:6">
      <c r="A4" s="17" t="s">
        <v>171</v>
      </c>
      <c r="B4" s="49">
        <f>销售预算!D11</f>
        <v>9800000</v>
      </c>
      <c r="C4" s="49">
        <f>销售预算!E11</f>
        <v>11060000</v>
      </c>
      <c r="D4" s="49">
        <f>销售预算!F11</f>
        <v>12320000</v>
      </c>
      <c r="E4" s="49">
        <f>销售预算!G11</f>
        <v>13580000</v>
      </c>
      <c r="F4" s="49">
        <f>SUM(B4:E4)</f>
        <v>46760000</v>
      </c>
    </row>
    <row r="5" spans="1:6">
      <c r="A5" s="18" t="s">
        <v>172</v>
      </c>
      <c r="B5" s="49">
        <f>销售预算!D13</f>
        <v>1500000</v>
      </c>
      <c r="C5" s="49">
        <f>销售预算!E13</f>
        <v>4200000</v>
      </c>
      <c r="D5" s="49">
        <f>销售预算!F13</f>
        <v>4740000</v>
      </c>
      <c r="E5" s="49">
        <f>销售预算!G13</f>
        <v>5280000</v>
      </c>
      <c r="F5" s="49">
        <f t="shared" ref="F5:F14" si="0">SUM(B5:E5)</f>
        <v>15720000</v>
      </c>
    </row>
    <row r="6" spans="1:6">
      <c r="A6" s="17" t="s">
        <v>173</v>
      </c>
      <c r="B6" s="49">
        <f>B3+B4+B5</f>
        <v>12300000</v>
      </c>
      <c r="C6" s="49">
        <f t="shared" ref="C6:E6" si="1">C3+C4+C5</f>
        <v>16260000</v>
      </c>
      <c r="D6" s="49">
        <f t="shared" si="1"/>
        <v>19454018.253012046</v>
      </c>
      <c r="E6" s="49">
        <f t="shared" si="1"/>
        <v>23933894.130434781</v>
      </c>
      <c r="F6" s="49">
        <f t="shared" ref="C6:F6" si="2">F3+F4+F5</f>
        <v>63480000</v>
      </c>
    </row>
    <row r="7" spans="1:6">
      <c r="A7" s="17" t="s">
        <v>174</v>
      </c>
      <c r="B7" s="49">
        <f>直接材料预算表!C27</f>
        <v>5611500</v>
      </c>
      <c r="C7" s="49">
        <f>直接材料预算表!D27</f>
        <v>8101060</v>
      </c>
      <c r="D7" s="49">
        <f>直接材料预算表!E27</f>
        <v>9163440</v>
      </c>
      <c r="E7" s="49">
        <f>直接材料预算表!F27</f>
        <v>10097000</v>
      </c>
      <c r="F7" s="49">
        <f t="shared" si="0"/>
        <v>32973000</v>
      </c>
    </row>
    <row r="8" spans="1:6">
      <c r="A8" s="18" t="s">
        <v>175</v>
      </c>
      <c r="B8" s="49">
        <f>直接人工预算表!C11</f>
        <v>1660000</v>
      </c>
      <c r="C8" s="49">
        <f>直接人工预算表!D11</f>
        <v>1840000</v>
      </c>
      <c r="D8" s="49">
        <f>直接人工预算表!E11</f>
        <v>2040000</v>
      </c>
      <c r="E8" s="49">
        <f>直接人工预算表!F11</f>
        <v>2240000</v>
      </c>
      <c r="F8" s="49">
        <f t="shared" si="0"/>
        <v>7780000</v>
      </c>
    </row>
    <row r="9" spans="1:6">
      <c r="A9" s="18" t="s">
        <v>176</v>
      </c>
      <c r="B9" s="49">
        <f>制造费用预算表!C18</f>
        <v>872500</v>
      </c>
      <c r="C9" s="49">
        <f>制造费用预算表!D18</f>
        <v>940000</v>
      </c>
      <c r="D9" s="49">
        <f>制造费用预算表!E18</f>
        <v>1015000</v>
      </c>
      <c r="E9" s="49">
        <f>制造费用预算表!F18</f>
        <v>1090000</v>
      </c>
      <c r="F9" s="49">
        <f t="shared" si="0"/>
        <v>3917500</v>
      </c>
    </row>
    <row r="10" spans="1:6">
      <c r="A10" s="18" t="s">
        <v>177</v>
      </c>
      <c r="B10" s="49">
        <f>销售费用预算!B9</f>
        <v>790000</v>
      </c>
      <c r="C10" s="49">
        <f>销售费用预算!C9</f>
        <v>880000</v>
      </c>
      <c r="D10" s="49">
        <f>销售费用预算!D9</f>
        <v>970000</v>
      </c>
      <c r="E10" s="49">
        <f>销售费用预算!E9</f>
        <v>1060000</v>
      </c>
      <c r="F10" s="49">
        <f t="shared" si="0"/>
        <v>3700000</v>
      </c>
    </row>
    <row r="11" spans="1:6">
      <c r="A11" s="18" t="s">
        <v>178</v>
      </c>
      <c r="B11" s="49">
        <f>管理费用预算!B8</f>
        <v>290000</v>
      </c>
      <c r="C11" s="49">
        <f>管理费用预算!C8</f>
        <v>290000</v>
      </c>
      <c r="D11" s="49">
        <f>管理费用预算!D8</f>
        <v>290000</v>
      </c>
      <c r="E11" s="49">
        <f>管理费用预算!E8</f>
        <v>290000</v>
      </c>
      <c r="F11" s="49">
        <f t="shared" si="0"/>
        <v>1160000</v>
      </c>
    </row>
    <row r="12" spans="1:6">
      <c r="A12" s="18" t="s">
        <v>179</v>
      </c>
      <c r="B12" s="49">
        <f>基础数据!D49</f>
        <v>720000</v>
      </c>
      <c r="C12" s="49">
        <f>利润草算表!B9</f>
        <v>729811.74698795145</v>
      </c>
      <c r="D12" s="49">
        <f>利润草算表!C9</f>
        <v>831574.12257726584</v>
      </c>
      <c r="E12" s="49">
        <f>利润草算表!D9</f>
        <v>957547.95396419428</v>
      </c>
      <c r="F12" s="49">
        <f t="shared" si="0"/>
        <v>3238933.8235294116</v>
      </c>
    </row>
    <row r="13" spans="1:6">
      <c r="A13" s="18" t="s">
        <v>180</v>
      </c>
      <c r="B13" s="49">
        <f>资本支出预算表!B5</f>
        <v>5000000</v>
      </c>
      <c r="C13" s="49"/>
      <c r="D13" s="49"/>
      <c r="E13" s="49"/>
      <c r="F13" s="49">
        <f t="shared" si="0"/>
        <v>5000000</v>
      </c>
    </row>
    <row r="14" spans="1:6">
      <c r="A14" s="17" t="s">
        <v>181</v>
      </c>
      <c r="B14" s="49">
        <f>SUM(B7:B13)</f>
        <v>14944000</v>
      </c>
      <c r="C14" s="49">
        <f t="shared" ref="C14:E14" si="3">SUM(C7:C13)</f>
        <v>12780871.746987952</v>
      </c>
      <c r="D14" s="49">
        <f t="shared" si="3"/>
        <v>14310014.122577265</v>
      </c>
      <c r="E14" s="49">
        <f t="shared" si="3"/>
        <v>15734547.953964194</v>
      </c>
      <c r="F14" s="49">
        <f t="shared" si="0"/>
        <v>57769433.823529415</v>
      </c>
    </row>
    <row r="15" spans="1:6">
      <c r="A15" s="17" t="s">
        <v>182</v>
      </c>
      <c r="B15" s="49">
        <f>B6-B14</f>
        <v>-2644000</v>
      </c>
      <c r="C15" s="49">
        <f t="shared" ref="C15:E15" si="4">C6-C14</f>
        <v>3479128.2530120481</v>
      </c>
      <c r="D15" s="49">
        <f t="shared" si="4"/>
        <v>5144004.1304347813</v>
      </c>
      <c r="E15" s="49">
        <f t="shared" si="4"/>
        <v>8199346.176470587</v>
      </c>
      <c r="F15" s="81">
        <f>F6-F14</f>
        <v>5710566.1764705852</v>
      </c>
    </row>
    <row r="16" spans="1:6">
      <c r="A16" s="17" t="s">
        <v>183</v>
      </c>
      <c r="B16" s="49">
        <f>基础数据!$D$38</f>
        <v>1000000</v>
      </c>
      <c r="C16" s="49">
        <f>基础数据!$D$38</f>
        <v>1000000</v>
      </c>
      <c r="D16" s="49">
        <f>基础数据!$D$38</f>
        <v>1000000</v>
      </c>
      <c r="E16" s="49">
        <f>基础数据!$D$38</f>
        <v>1000000</v>
      </c>
      <c r="F16" s="81">
        <f>E16</f>
        <v>1000000</v>
      </c>
    </row>
    <row r="17" spans="1:6">
      <c r="A17" s="17" t="s">
        <v>184</v>
      </c>
      <c r="B17" s="49">
        <f>B15-B16</f>
        <v>-3644000</v>
      </c>
      <c r="C17" s="49">
        <f t="shared" ref="C17:F17" si="5">C15-C16</f>
        <v>2479128.2530120481</v>
      </c>
      <c r="D17" s="49">
        <f t="shared" si="5"/>
        <v>4144004.1304347813</v>
      </c>
      <c r="E17" s="49">
        <f t="shared" si="5"/>
        <v>7199346.176470587</v>
      </c>
      <c r="F17" s="81">
        <f t="shared" si="5"/>
        <v>4710566.1764705852</v>
      </c>
    </row>
    <row r="18" spans="1:6">
      <c r="A18" s="17" t="s">
        <v>185</v>
      </c>
      <c r="B18" s="49">
        <f>基础数据!B40</f>
        <v>1000000</v>
      </c>
      <c r="C18" s="49">
        <f>基础数据!D40</f>
        <v>1000000</v>
      </c>
      <c r="D18" s="49"/>
      <c r="E18" s="49">
        <f>B20</f>
        <v>4674000</v>
      </c>
      <c r="F18" s="49">
        <f t="shared" ref="F18:F20" si="6">SUM(B18:E18)</f>
        <v>6674000</v>
      </c>
    </row>
    <row r="19" spans="1:6">
      <c r="A19" s="17" t="s">
        <v>186</v>
      </c>
      <c r="B19" s="49">
        <f>基础数据!B39*基础数据!B38/4</f>
        <v>30000</v>
      </c>
      <c r="C19" s="49">
        <f>(基础数据!B39-基础数据!B40)*基础数据!B38/4+B20*基础数据!B38/4</f>
        <v>85110</v>
      </c>
      <c r="D19" s="49">
        <f>B20*基础数据!B38/4</f>
        <v>70110</v>
      </c>
      <c r="E19" s="49">
        <f>D19</f>
        <v>70110</v>
      </c>
      <c r="F19" s="49">
        <f t="shared" si="6"/>
        <v>255330</v>
      </c>
    </row>
    <row r="20" spans="1:6">
      <c r="A20" s="17" t="s">
        <v>187</v>
      </c>
      <c r="B20" s="49">
        <f>B18+B19-B17</f>
        <v>4674000</v>
      </c>
      <c r="C20" s="49"/>
      <c r="D20" s="49"/>
      <c r="E20" s="49"/>
      <c r="F20" s="49">
        <f t="shared" si="6"/>
        <v>4674000</v>
      </c>
    </row>
    <row r="21" spans="1:6">
      <c r="A21" s="17" t="s">
        <v>188</v>
      </c>
      <c r="B21" s="49">
        <f>B15+B20-B18-B19</f>
        <v>1000000</v>
      </c>
      <c r="C21" s="49">
        <f>C15+C20-C18-C19</f>
        <v>2394018.2530120481</v>
      </c>
      <c r="D21" s="49">
        <f>D15+D20-D18-D19</f>
        <v>5073894.1304347813</v>
      </c>
      <c r="E21" s="49">
        <f>E15+E20-E18-E19</f>
        <v>3455236.176470587</v>
      </c>
      <c r="F21" s="81">
        <f>F15+F20-F18-F19</f>
        <v>3455236.1764705852</v>
      </c>
    </row>
    <row r="22" spans="1:6">
      <c r="A22" s="19"/>
      <c r="B22" s="53">
        <f>B17+B16+B20-B18-B19</f>
        <v>1000000</v>
      </c>
      <c r="C22" s="53">
        <f>C17+C16+C20-C18-C19</f>
        <v>2394018.2530120481</v>
      </c>
      <c r="D22" s="53">
        <f t="shared" ref="D22:F22" si="7">D17+D16+D20-D18-D19</f>
        <v>5073894.1304347813</v>
      </c>
      <c r="E22" s="53">
        <f t="shared" si="7"/>
        <v>3455236.176470587</v>
      </c>
      <c r="F22" s="53">
        <f t="shared" si="7"/>
        <v>3455236.1764705852</v>
      </c>
    </row>
    <row r="23" spans="1:6">
      <c r="A23" s="44" t="s">
        <v>189</v>
      </c>
      <c r="B23" s="54" t="s">
        <v>190</v>
      </c>
      <c r="C23" s="53"/>
      <c r="D23" s="53"/>
      <c r="E23" s="53"/>
      <c r="F23" s="53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10" sqref="B10:E10"/>
    </sheetView>
  </sheetViews>
  <sheetFormatPr defaultColWidth="11" defaultRowHeight="15.6"/>
  <cols>
    <col min="1" max="1" width="12.6328125" bestFit="1" customWidth="1"/>
    <col min="2" max="2" width="11.36328125" bestFit="1" customWidth="1"/>
  </cols>
  <sheetData>
    <row r="1" spans="1:6" ht="20.399999999999999">
      <c r="A1" s="44" t="s">
        <v>193</v>
      </c>
      <c r="B1" s="56"/>
      <c r="C1" s="56"/>
      <c r="D1" s="56"/>
      <c r="E1" s="56"/>
      <c r="F1" s="56"/>
    </row>
    <row r="2" spans="1:6">
      <c r="A2" s="1" t="s">
        <v>53</v>
      </c>
      <c r="B2" s="51" t="s">
        <v>90</v>
      </c>
      <c r="C2" s="51" t="s">
        <v>91</v>
      </c>
      <c r="D2" s="51" t="s">
        <v>92</v>
      </c>
      <c r="E2" s="51" t="s">
        <v>93</v>
      </c>
      <c r="F2" s="51" t="s">
        <v>162</v>
      </c>
    </row>
    <row r="3" spans="1:6">
      <c r="A3" s="17" t="s">
        <v>163</v>
      </c>
      <c r="B3" s="57">
        <f>利润草算表!B4</f>
        <v>14000000</v>
      </c>
      <c r="C3" s="57">
        <f>利润草算表!C4</f>
        <v>15800000</v>
      </c>
      <c r="D3" s="57">
        <f>利润草算表!D4</f>
        <v>17600000</v>
      </c>
      <c r="E3" s="57">
        <f>利润草算表!E4</f>
        <v>19400000</v>
      </c>
      <c r="F3" s="57">
        <f>利润草算表!F4</f>
        <v>66800000</v>
      </c>
    </row>
    <row r="4" spans="1:6">
      <c r="A4" s="17" t="s">
        <v>164</v>
      </c>
      <c r="B4" s="57">
        <f>利润草算表!B5</f>
        <v>9950753.0120481942</v>
      </c>
      <c r="C4" s="57">
        <f>利润草算表!C5</f>
        <v>11253703.509690937</v>
      </c>
      <c r="D4" s="57">
        <f>利润草算表!D5</f>
        <v>12459808.184143223</v>
      </c>
      <c r="E4" s="57">
        <f>利润草算表!E5</f>
        <v>13664842.43697479</v>
      </c>
      <c r="F4" s="57">
        <f>利润草算表!F5</f>
        <v>47329107.142857149</v>
      </c>
    </row>
    <row r="5" spans="1:6">
      <c r="A5" s="18" t="s">
        <v>165</v>
      </c>
      <c r="B5" s="57">
        <f>利润草算表!B6</f>
        <v>790000</v>
      </c>
      <c r="C5" s="57">
        <f>利润草算表!C6</f>
        <v>880000</v>
      </c>
      <c r="D5" s="57">
        <f>利润草算表!D6</f>
        <v>970000</v>
      </c>
      <c r="E5" s="57">
        <f>利润草算表!E6</f>
        <v>1060000</v>
      </c>
      <c r="F5" s="57">
        <f>利润草算表!F6</f>
        <v>3700000</v>
      </c>
    </row>
    <row r="6" spans="1:6">
      <c r="A6" s="18" t="s">
        <v>194</v>
      </c>
      <c r="B6" s="57">
        <f>利润草算表!B7</f>
        <v>340000</v>
      </c>
      <c r="C6" s="57">
        <f>利润草算表!C7</f>
        <v>340000</v>
      </c>
      <c r="D6" s="57">
        <f>利润草算表!D7</f>
        <v>340000</v>
      </c>
      <c r="E6" s="57">
        <f>利润草算表!E7</f>
        <v>340000</v>
      </c>
      <c r="F6" s="57">
        <f>利润草算表!F7</f>
        <v>1360000</v>
      </c>
    </row>
    <row r="7" spans="1:6">
      <c r="A7" s="18" t="s">
        <v>195</v>
      </c>
      <c r="B7" s="57">
        <f>现金收支草算表!B19</f>
        <v>30000</v>
      </c>
      <c r="C7" s="57">
        <f>现金收支草算表!C19</f>
        <v>85110</v>
      </c>
      <c r="D7" s="57">
        <f>现金收支草算表!D19</f>
        <v>70110</v>
      </c>
      <c r="E7" s="57">
        <f>现金收支草算表!E19</f>
        <v>70110</v>
      </c>
      <c r="F7" s="57">
        <f>现金收支草算表!F19</f>
        <v>255330</v>
      </c>
    </row>
    <row r="8" spans="1:6">
      <c r="A8" s="17" t="s">
        <v>167</v>
      </c>
      <c r="B8" s="57">
        <f>B3-SUM(B4:B7)</f>
        <v>2889246.9879518058</v>
      </c>
      <c r="C8" s="57">
        <f t="shared" ref="C8:E8" si="0">C3-SUM(C4:C7)</f>
        <v>3241186.4903090633</v>
      </c>
      <c r="D8" s="57">
        <f t="shared" si="0"/>
        <v>3760081.8158567771</v>
      </c>
      <c r="E8" s="57">
        <f t="shared" si="0"/>
        <v>4265047.5630252101</v>
      </c>
      <c r="F8" s="57">
        <f>F3-SUM(F4:F7)</f>
        <v>14155562.857142851</v>
      </c>
    </row>
    <row r="9" spans="1:6">
      <c r="A9" s="17" t="s">
        <v>168</v>
      </c>
      <c r="B9" s="57">
        <f>B8*0.25</f>
        <v>722311.74698795145</v>
      </c>
      <c r="C9" s="57">
        <f t="shared" ref="C9:F9" si="1">C8*0.25</f>
        <v>810296.62257726584</v>
      </c>
      <c r="D9" s="57">
        <f t="shared" si="1"/>
        <v>940020.45396419428</v>
      </c>
      <c r="E9" s="57">
        <f t="shared" si="1"/>
        <v>1066261.8907563025</v>
      </c>
      <c r="F9" s="57">
        <f t="shared" si="1"/>
        <v>3538890.7142857127</v>
      </c>
    </row>
    <row r="10" spans="1:6">
      <c r="A10" s="17" t="s">
        <v>196</v>
      </c>
      <c r="B10" s="57">
        <f>B8-B9</f>
        <v>2166935.2409638544</v>
      </c>
      <c r="C10" s="57">
        <f t="shared" ref="C10:F10" si="2">C8-C9</f>
        <v>2430889.8677317975</v>
      </c>
      <c r="D10" s="57">
        <f t="shared" si="2"/>
        <v>2820061.3618925828</v>
      </c>
      <c r="E10" s="57">
        <f t="shared" si="2"/>
        <v>3198785.6722689075</v>
      </c>
      <c r="F10" s="57">
        <f t="shared" si="2"/>
        <v>10616672.142857138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4"/>
  <sheetViews>
    <sheetView topLeftCell="A10" zoomScale="150" zoomScaleNormal="150" workbookViewId="0">
      <selection activeCell="L8" sqref="L8"/>
    </sheetView>
  </sheetViews>
  <sheetFormatPr defaultColWidth="11" defaultRowHeight="15.6"/>
  <cols>
    <col min="1" max="1" width="16.36328125" bestFit="1" customWidth="1"/>
    <col min="5" max="5" width="13.08984375" bestFit="1" customWidth="1"/>
    <col min="7" max="7" width="13.08984375" bestFit="1" customWidth="1"/>
  </cols>
  <sheetData>
    <row r="1" spans="1:7">
      <c r="A1" s="44" t="s">
        <v>197</v>
      </c>
      <c r="B1" s="19"/>
      <c r="C1" s="19"/>
      <c r="D1" s="19"/>
      <c r="E1" s="19"/>
      <c r="F1" s="19"/>
    </row>
    <row r="2" spans="1:7">
      <c r="A2" s="2" t="s">
        <v>53</v>
      </c>
      <c r="B2" s="58" t="s">
        <v>198</v>
      </c>
      <c r="C2" s="58" t="s">
        <v>199</v>
      </c>
      <c r="D2" s="58" t="s">
        <v>200</v>
      </c>
      <c r="E2" s="58" t="s">
        <v>201</v>
      </c>
      <c r="F2" s="58" t="s">
        <v>162</v>
      </c>
    </row>
    <row r="3" spans="1:7">
      <c r="A3" s="1" t="s">
        <v>170</v>
      </c>
      <c r="B3" s="57">
        <f>现金收支草算表!B3</f>
        <v>1000000</v>
      </c>
      <c r="C3" s="57">
        <f>B21</f>
        <v>1000000</v>
      </c>
      <c r="D3" s="57">
        <f t="shared" ref="D3:E3" si="0">C21</f>
        <v>2401518.2530120481</v>
      </c>
      <c r="E3" s="57">
        <f t="shared" si="0"/>
        <v>5102671.6304347813</v>
      </c>
      <c r="F3" s="57">
        <f>B3</f>
        <v>1000000</v>
      </c>
    </row>
    <row r="4" spans="1:7">
      <c r="A4" s="17" t="s">
        <v>171</v>
      </c>
      <c r="B4" s="57">
        <f>现金收支草算表!B4</f>
        <v>9800000</v>
      </c>
      <c r="C4" s="57">
        <f>现金收支草算表!C4</f>
        <v>11060000</v>
      </c>
      <c r="D4" s="57">
        <f>现金收支草算表!D4</f>
        <v>12320000</v>
      </c>
      <c r="E4" s="57">
        <f>现金收支草算表!E4</f>
        <v>13580000</v>
      </c>
      <c r="F4" s="57">
        <f>现金收支草算表!F4</f>
        <v>46760000</v>
      </c>
    </row>
    <row r="5" spans="1:7">
      <c r="A5" s="18" t="s">
        <v>172</v>
      </c>
      <c r="B5" s="57">
        <f>现金收支草算表!B5</f>
        <v>1500000</v>
      </c>
      <c r="C5" s="57">
        <f>现金收支草算表!C5</f>
        <v>4200000</v>
      </c>
      <c r="D5" s="57">
        <f>现金收支草算表!D5</f>
        <v>4740000</v>
      </c>
      <c r="E5" s="57">
        <f>现金收支草算表!E5</f>
        <v>5280000</v>
      </c>
      <c r="F5" s="57">
        <f>现金收支草算表!F5</f>
        <v>15720000</v>
      </c>
    </row>
    <row r="6" spans="1:7">
      <c r="A6" s="83" t="s">
        <v>173</v>
      </c>
      <c r="B6" s="57">
        <f>B3+B4+B5</f>
        <v>12300000</v>
      </c>
      <c r="C6" s="57">
        <f t="shared" ref="C6:F6" si="1">C3+C4+C5</f>
        <v>16260000</v>
      </c>
      <c r="D6" s="57">
        <f t="shared" si="1"/>
        <v>19461518.253012046</v>
      </c>
      <c r="E6" s="57">
        <f t="shared" si="1"/>
        <v>23962671.630434781</v>
      </c>
      <c r="F6" s="57">
        <f t="shared" si="1"/>
        <v>63480000</v>
      </c>
      <c r="G6" s="60"/>
    </row>
    <row r="7" spans="1:7">
      <c r="A7" s="17" t="s">
        <v>174</v>
      </c>
      <c r="B7" s="57">
        <f>现金收支草算表!B7</f>
        <v>5611500</v>
      </c>
      <c r="C7" s="57">
        <f>现金收支草算表!C7</f>
        <v>8101060</v>
      </c>
      <c r="D7" s="57">
        <f>现金收支草算表!D7</f>
        <v>9163440</v>
      </c>
      <c r="E7" s="57">
        <f>现金收支草算表!E7</f>
        <v>10097000</v>
      </c>
      <c r="F7" s="57">
        <f>现金收支草算表!F7</f>
        <v>32973000</v>
      </c>
    </row>
    <row r="8" spans="1:7">
      <c r="A8" s="18" t="s">
        <v>175</v>
      </c>
      <c r="B8" s="57">
        <f>现金收支草算表!B8</f>
        <v>1660000</v>
      </c>
      <c r="C8" s="57">
        <f>现金收支草算表!C8</f>
        <v>1840000</v>
      </c>
      <c r="D8" s="57">
        <f>现金收支草算表!D8</f>
        <v>2040000</v>
      </c>
      <c r="E8" s="57">
        <f>现金收支草算表!E8</f>
        <v>2240000</v>
      </c>
      <c r="F8" s="57">
        <f>现金收支草算表!F8</f>
        <v>7780000</v>
      </c>
    </row>
    <row r="9" spans="1:7">
      <c r="A9" s="18" t="s">
        <v>176</v>
      </c>
      <c r="B9" s="57">
        <f>现金收支草算表!B9</f>
        <v>872500</v>
      </c>
      <c r="C9" s="57">
        <f>现金收支草算表!C9</f>
        <v>940000</v>
      </c>
      <c r="D9" s="57">
        <f>现金收支草算表!D9</f>
        <v>1015000</v>
      </c>
      <c r="E9" s="57">
        <f>现金收支草算表!E9</f>
        <v>1090000</v>
      </c>
      <c r="F9" s="57">
        <f>现金收支草算表!F9</f>
        <v>3917500</v>
      </c>
    </row>
    <row r="10" spans="1:7">
      <c r="A10" s="18" t="s">
        <v>177</v>
      </c>
      <c r="B10" s="57">
        <f>现金收支草算表!B10</f>
        <v>790000</v>
      </c>
      <c r="C10" s="57">
        <f>现金收支草算表!C10</f>
        <v>880000</v>
      </c>
      <c r="D10" s="57">
        <f>现金收支草算表!D10</f>
        <v>970000</v>
      </c>
      <c r="E10" s="57">
        <f>现金收支草算表!E10</f>
        <v>1060000</v>
      </c>
      <c r="F10" s="57">
        <f>现金收支草算表!F10</f>
        <v>3700000</v>
      </c>
    </row>
    <row r="11" spans="1:7">
      <c r="A11" s="18" t="s">
        <v>178</v>
      </c>
      <c r="B11" s="57">
        <f>现金收支草算表!B11</f>
        <v>290000</v>
      </c>
      <c r="C11" s="57">
        <f>现金收支草算表!C11</f>
        <v>290000</v>
      </c>
      <c r="D11" s="57">
        <f>现金收支草算表!D11</f>
        <v>290000</v>
      </c>
      <c r="E11" s="57">
        <f>现金收支草算表!E11</f>
        <v>290000</v>
      </c>
      <c r="F11" s="57">
        <f>现金收支草算表!F11</f>
        <v>1160000</v>
      </c>
    </row>
    <row r="12" spans="1:7">
      <c r="A12" s="18" t="s">
        <v>202</v>
      </c>
      <c r="B12" s="57">
        <f>现金收支草算表!B19</f>
        <v>30000</v>
      </c>
      <c r="C12" s="57">
        <f>现金收支草算表!C19</f>
        <v>85110</v>
      </c>
      <c r="D12" s="57">
        <f>现金收支草算表!D19</f>
        <v>70110</v>
      </c>
      <c r="E12" s="57">
        <f>现金收支草算表!E19</f>
        <v>70110</v>
      </c>
      <c r="F12" s="57">
        <f>现金收支草算表!F19</f>
        <v>255330</v>
      </c>
    </row>
    <row r="13" spans="1:7">
      <c r="A13" s="18" t="s">
        <v>179</v>
      </c>
      <c r="B13" s="57">
        <f>现金收支草算表!B12</f>
        <v>720000</v>
      </c>
      <c r="C13" s="57">
        <f>利润预算表!B9</f>
        <v>722311.74698795145</v>
      </c>
      <c r="D13" s="57">
        <f>利润预算表!C9</f>
        <v>810296.62257726584</v>
      </c>
      <c r="E13" s="57">
        <f>利润预算表!D9</f>
        <v>940020.45396419428</v>
      </c>
      <c r="F13" s="57">
        <f>SUM(B13:E13)</f>
        <v>3192628.8235294116</v>
      </c>
    </row>
    <row r="14" spans="1:7">
      <c r="A14" s="18" t="s">
        <v>180</v>
      </c>
      <c r="B14" s="57">
        <f>现金收支草算表!B13</f>
        <v>5000000</v>
      </c>
      <c r="C14" s="57">
        <f>现金收支草算表!C13</f>
        <v>0</v>
      </c>
      <c r="D14" s="57">
        <f>现金收支草算表!D13</f>
        <v>0</v>
      </c>
      <c r="E14" s="57">
        <f>现金收支草算表!E13</f>
        <v>0</v>
      </c>
      <c r="F14" s="57">
        <f>现金收支草算表!F13</f>
        <v>5000000</v>
      </c>
    </row>
    <row r="15" spans="1:7">
      <c r="A15" s="17" t="s">
        <v>203</v>
      </c>
      <c r="B15" s="57">
        <f>SUM(B7:B14)</f>
        <v>14974000</v>
      </c>
      <c r="C15" s="57">
        <f t="shared" ref="C15:F15" si="2">SUM(C7:C14)</f>
        <v>12858481.746987952</v>
      </c>
      <c r="D15" s="57">
        <f t="shared" si="2"/>
        <v>14358846.622577265</v>
      </c>
      <c r="E15" s="57">
        <f t="shared" si="2"/>
        <v>15787130.453964194</v>
      </c>
      <c r="F15" s="57">
        <f t="shared" si="2"/>
        <v>57978458.823529415</v>
      </c>
      <c r="G15" s="60"/>
    </row>
    <row r="16" spans="1:7">
      <c r="A16" s="17" t="s">
        <v>182</v>
      </c>
      <c r="B16" s="59">
        <f>B6-B15</f>
        <v>-2674000</v>
      </c>
      <c r="C16" s="59">
        <f t="shared" ref="C16:F16" si="3">C6-C15</f>
        <v>3401518.2530120481</v>
      </c>
      <c r="D16" s="59">
        <f t="shared" si="3"/>
        <v>5102671.6304347813</v>
      </c>
      <c r="E16" s="59">
        <f t="shared" si="3"/>
        <v>8175541.176470587</v>
      </c>
      <c r="F16" s="59">
        <f t="shared" si="3"/>
        <v>5501541.1764705852</v>
      </c>
    </row>
    <row r="17" spans="1:6">
      <c r="A17" s="17" t="s">
        <v>183</v>
      </c>
      <c r="B17" s="57">
        <f>现金收支草算表!B16</f>
        <v>1000000</v>
      </c>
      <c r="C17" s="57">
        <f>现金收支草算表!C16</f>
        <v>1000000</v>
      </c>
      <c r="D17" s="57">
        <f>现金收支草算表!D16</f>
        <v>1000000</v>
      </c>
      <c r="E17" s="57">
        <f>现金收支草算表!E16</f>
        <v>1000000</v>
      </c>
      <c r="F17" s="57">
        <f>现金收支草算表!F16</f>
        <v>1000000</v>
      </c>
    </row>
    <row r="18" spans="1:6">
      <c r="A18" s="17" t="s">
        <v>204</v>
      </c>
      <c r="B18" s="59">
        <f>B16-B17</f>
        <v>-3674000</v>
      </c>
      <c r="C18" s="59">
        <f t="shared" ref="C18:F18" si="4">C16-C17</f>
        <v>2401518.2530120481</v>
      </c>
      <c r="D18" s="59">
        <f t="shared" si="4"/>
        <v>4102671.6304347813</v>
      </c>
      <c r="E18" s="59">
        <f t="shared" si="4"/>
        <v>7175541.176470587</v>
      </c>
      <c r="F18" s="59">
        <f t="shared" si="4"/>
        <v>4501541.1764705852</v>
      </c>
    </row>
    <row r="19" spans="1:6">
      <c r="A19" s="17" t="s">
        <v>185</v>
      </c>
      <c r="B19" s="57">
        <f>现金收支草算表!B18</f>
        <v>1000000</v>
      </c>
      <c r="C19" s="57">
        <f>现金收支草算表!C18</f>
        <v>1000000</v>
      </c>
      <c r="D19" s="57">
        <f>现金收支草算表!D18</f>
        <v>0</v>
      </c>
      <c r="E19" s="57">
        <f>现金收支草算表!E18</f>
        <v>4674000</v>
      </c>
      <c r="F19" s="57">
        <f>现金收支草算表!F18</f>
        <v>6674000</v>
      </c>
    </row>
    <row r="20" spans="1:6">
      <c r="A20" s="17" t="s">
        <v>205</v>
      </c>
      <c r="B20" s="57">
        <f>现金收支草算表!B20</f>
        <v>4674000</v>
      </c>
      <c r="C20" s="57">
        <f>现金收支草算表!C20</f>
        <v>0</v>
      </c>
      <c r="D20" s="57">
        <f>现金收支草算表!D20</f>
        <v>0</v>
      </c>
      <c r="E20" s="57">
        <f>现金收支草算表!E20</f>
        <v>0</v>
      </c>
      <c r="F20" s="57">
        <f>现金收支草算表!F20</f>
        <v>4674000</v>
      </c>
    </row>
    <row r="21" spans="1:6">
      <c r="A21" s="17" t="s">
        <v>188</v>
      </c>
      <c r="B21" s="57">
        <f>B16+B20-B19</f>
        <v>1000000</v>
      </c>
      <c r="C21" s="57">
        <f t="shared" ref="C21:F21" si="5">C16+C20-C19</f>
        <v>2401518.2530120481</v>
      </c>
      <c r="D21" s="57">
        <f t="shared" si="5"/>
        <v>5102671.6304347813</v>
      </c>
      <c r="E21" s="57">
        <f t="shared" si="5"/>
        <v>3501541.176470587</v>
      </c>
      <c r="F21" s="57">
        <f t="shared" si="5"/>
        <v>3501541.1764705852</v>
      </c>
    </row>
    <row r="24" spans="1:6">
      <c r="E24" s="60">
        <f>SUM(B21:E21)</f>
        <v>12005731.059917416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4"/>
  <sheetViews>
    <sheetView topLeftCell="A13" zoomScale="178" zoomScaleNormal="178" workbookViewId="0">
      <selection activeCell="F11" sqref="F11"/>
    </sheetView>
  </sheetViews>
  <sheetFormatPr defaultColWidth="11" defaultRowHeight="15.6"/>
  <cols>
    <col min="1" max="1" width="15.6328125" bestFit="1" customWidth="1"/>
    <col min="2" max="3" width="11.36328125" bestFit="1" customWidth="1"/>
    <col min="7" max="7" width="15.90625" customWidth="1"/>
  </cols>
  <sheetData>
    <row r="1" spans="1:6">
      <c r="A1" s="78" t="s">
        <v>206</v>
      </c>
      <c r="B1" s="78"/>
      <c r="C1" s="78"/>
      <c r="D1" s="78"/>
      <c r="E1" s="78"/>
      <c r="F1" s="78"/>
    </row>
    <row r="2" spans="1:6">
      <c r="A2" s="17" t="s">
        <v>80</v>
      </c>
      <c r="B2" s="17" t="s">
        <v>207</v>
      </c>
      <c r="C2" s="17" t="s">
        <v>208</v>
      </c>
      <c r="D2" s="17" t="s">
        <v>209</v>
      </c>
      <c r="E2" s="17" t="s">
        <v>210</v>
      </c>
      <c r="F2" s="17" t="s">
        <v>211</v>
      </c>
    </row>
    <row r="3" spans="1:6">
      <c r="A3" s="17" t="s">
        <v>212</v>
      </c>
      <c r="B3" s="61"/>
      <c r="C3" s="61"/>
      <c r="D3" s="61"/>
      <c r="E3" s="61"/>
      <c r="F3" s="61"/>
    </row>
    <row r="4" spans="1:6">
      <c r="A4" s="17" t="s">
        <v>213</v>
      </c>
      <c r="B4" s="61"/>
      <c r="C4" s="61"/>
      <c r="D4" s="61"/>
      <c r="E4" s="61"/>
      <c r="F4" s="61"/>
    </row>
    <row r="5" spans="1:6">
      <c r="A5" s="1" t="s">
        <v>55</v>
      </c>
      <c r="B5" s="57">
        <f>基础数据!B47</f>
        <v>1000000</v>
      </c>
      <c r="C5" s="57">
        <f>现金收支预算表!B21</f>
        <v>1000000</v>
      </c>
      <c r="D5" s="57">
        <f>现金收支预算表!C21</f>
        <v>2401518.2530120481</v>
      </c>
      <c r="E5" s="57">
        <f>现金收支预算表!D21</f>
        <v>5102671.6304347813</v>
      </c>
      <c r="F5" s="57">
        <f>现金收支预算表!E21</f>
        <v>3501541.176470587</v>
      </c>
    </row>
    <row r="6" spans="1:6">
      <c r="A6" s="1" t="s">
        <v>56</v>
      </c>
      <c r="B6" s="57">
        <f>基础数据!B48</f>
        <v>1500000</v>
      </c>
      <c r="C6" s="57">
        <f>销售预算!D12</f>
        <v>4200000</v>
      </c>
      <c r="D6" s="57">
        <f>销售预算!E12</f>
        <v>4740000</v>
      </c>
      <c r="E6" s="57">
        <f>销售预算!F12</f>
        <v>5280000</v>
      </c>
      <c r="F6" s="57">
        <f>销售预算!G12</f>
        <v>5820000</v>
      </c>
    </row>
    <row r="7" spans="1:6">
      <c r="A7" s="1" t="s">
        <v>58</v>
      </c>
      <c r="B7" s="57">
        <f>基础数据!B49</f>
        <v>2640000</v>
      </c>
      <c r="C7" s="57">
        <f>直接材料预算表!C12*基础数据!$C$22+直接材料预算表!C13*基础数据!$D$22+直接材料预算表!C14*基础数据!$E$22+销售成本预算表!C8+销售成本预算表!C15</f>
        <v>2774246.9879518077</v>
      </c>
      <c r="D7" s="57">
        <f>直接材料预算表!D12*基础数据!$C$22+直接材料预算表!D13*基础数据!$D$22+直接材料预算表!D14*基础数据!$E$22+销售成本预算表!D8+销售成本预算表!D15</f>
        <v>3100643.4782608701</v>
      </c>
      <c r="E7" s="57">
        <f>直接材料预算表!E12*基础数据!$C$22+直接材料预算表!E13*基础数据!$D$22+直接材料预算表!E14*基础数据!$E$22+销售成本预算表!E8+销售成本预算表!E15</f>
        <v>3434835.2941176472</v>
      </c>
      <c r="F7" s="57">
        <f>直接材料预算表!F12*基础数据!$C$22+直接材料预算表!F13*基础数据!$D$22+直接材料预算表!F14*基础数据!$E$22+销售成本预算表!F8+销售成本预算表!F15</f>
        <v>3768992.8571428573</v>
      </c>
    </row>
    <row r="8" spans="1:6">
      <c r="A8" s="1" t="s">
        <v>60</v>
      </c>
      <c r="B8" s="57">
        <f>基础数据!B50</f>
        <v>5140000</v>
      </c>
      <c r="C8" s="57">
        <f>SUM(C5:C7)</f>
        <v>7974246.9879518077</v>
      </c>
      <c r="D8" s="57">
        <f t="shared" ref="D8:F8" si="0">SUM(D5:D7)</f>
        <v>10242161.731272917</v>
      </c>
      <c r="E8" s="57">
        <f t="shared" si="0"/>
        <v>13817506.924552429</v>
      </c>
      <c r="F8" s="57">
        <f t="shared" si="0"/>
        <v>13090534.033613443</v>
      </c>
    </row>
    <row r="9" spans="1:6">
      <c r="A9" s="1" t="s">
        <v>62</v>
      </c>
      <c r="B9" s="57">
        <f>基础数据!$B$51</f>
        <v>2600000</v>
      </c>
      <c r="C9" s="57">
        <f>基础数据!$B$51</f>
        <v>2600000</v>
      </c>
      <c r="D9" s="57">
        <f>基础数据!$B$51</f>
        <v>2600000</v>
      </c>
      <c r="E9" s="57">
        <f>基础数据!$B$51</f>
        <v>2600000</v>
      </c>
      <c r="F9" s="57">
        <f>基础数据!$B$51</f>
        <v>2600000</v>
      </c>
    </row>
    <row r="10" spans="1:6">
      <c r="A10" s="1" t="s">
        <v>64</v>
      </c>
      <c r="B10" s="57">
        <f>基础数据!B52</f>
        <v>59080000</v>
      </c>
      <c r="C10" s="57">
        <f>B10-制造费用预算表!C9-管理费用预算!B4</f>
        <v>58830000</v>
      </c>
      <c r="D10" s="57">
        <f>C10-制造费用预算表!D9-管理费用预算!C4</f>
        <v>58580000</v>
      </c>
      <c r="E10" s="57">
        <f>D10-制造费用预算表!E9-管理费用预算!D4</f>
        <v>58330000</v>
      </c>
      <c r="F10" s="57">
        <f>E10-制造费用预算表!F9-管理费用预算!E4</f>
        <v>58080000</v>
      </c>
    </row>
    <row r="11" spans="1:6">
      <c r="A11" s="1" t="s">
        <v>214</v>
      </c>
      <c r="B11" s="57"/>
      <c r="C11" s="57">
        <f>资本支出预算表!$B$4</f>
        <v>5000000</v>
      </c>
      <c r="D11" s="57">
        <f>资本支出预算表!$B$4</f>
        <v>5000000</v>
      </c>
      <c r="E11" s="57">
        <f>资本支出预算表!$B$4</f>
        <v>5000000</v>
      </c>
      <c r="F11" s="57">
        <f>资本支出预算表!$B$4</f>
        <v>5000000</v>
      </c>
    </row>
    <row r="12" spans="1:6">
      <c r="A12" s="1" t="s">
        <v>66</v>
      </c>
      <c r="B12" s="57">
        <f>基础数据!B53</f>
        <v>5000000</v>
      </c>
      <c r="C12" s="57">
        <f>$B$12</f>
        <v>5000000</v>
      </c>
      <c r="D12" s="57">
        <f t="shared" ref="D12:F12" si="1">$B$12</f>
        <v>5000000</v>
      </c>
      <c r="E12" s="57">
        <f t="shared" si="1"/>
        <v>5000000</v>
      </c>
      <c r="F12" s="57">
        <f t="shared" si="1"/>
        <v>5000000</v>
      </c>
    </row>
    <row r="13" spans="1:6">
      <c r="A13" s="1" t="s">
        <v>217</v>
      </c>
      <c r="B13" s="57">
        <f>基础数据!B54</f>
        <v>66680000</v>
      </c>
      <c r="C13" s="57">
        <f>SUM(C9:C12)</f>
        <v>71430000</v>
      </c>
      <c r="D13" s="57">
        <f t="shared" ref="D13:F13" si="2">SUM(D9:D12)</f>
        <v>71180000</v>
      </c>
      <c r="E13" s="57">
        <f t="shared" si="2"/>
        <v>70930000</v>
      </c>
      <c r="F13" s="57">
        <f t="shared" si="2"/>
        <v>70680000</v>
      </c>
    </row>
    <row r="14" spans="1:6">
      <c r="A14" s="17" t="s">
        <v>215</v>
      </c>
      <c r="B14" s="57">
        <f>基础数据!B55</f>
        <v>71820000</v>
      </c>
      <c r="C14" s="57">
        <f>C8+C13</f>
        <v>79404246.987951815</v>
      </c>
      <c r="D14" s="57">
        <f t="shared" ref="D14:F14" si="3">D8+D13</f>
        <v>81422161.731272921</v>
      </c>
      <c r="E14" s="57">
        <f t="shared" si="3"/>
        <v>84747506.924552426</v>
      </c>
      <c r="F14" s="57">
        <f t="shared" si="3"/>
        <v>83770534.033613443</v>
      </c>
    </row>
    <row r="15" spans="1:6">
      <c r="A15" s="17" t="s">
        <v>216</v>
      </c>
      <c r="B15" s="57"/>
      <c r="C15" s="57"/>
      <c r="D15" s="57"/>
      <c r="E15" s="57"/>
      <c r="F15" s="57"/>
    </row>
    <row r="16" spans="1:6">
      <c r="A16" s="1" t="s">
        <v>47</v>
      </c>
      <c r="B16" s="57">
        <f>基础数据!D47</f>
        <v>2000000</v>
      </c>
      <c r="C16" s="57">
        <f>B16+现金收支预算表!B20-现金收支预算表!B19</f>
        <v>5674000</v>
      </c>
      <c r="D16" s="57">
        <f>C16+现金收支预算表!C20-现金收支预算表!C19</f>
        <v>4674000</v>
      </c>
      <c r="E16" s="57">
        <f>D16+现金收支预算表!D20-现金收支预算表!D19</f>
        <v>4674000</v>
      </c>
      <c r="F16" s="57">
        <f>E16+现金收支预算表!E20-现金收支预算表!E19</f>
        <v>0</v>
      </c>
    </row>
    <row r="17" spans="1:6">
      <c r="A17" s="1" t="s">
        <v>57</v>
      </c>
      <c r="B17" s="57">
        <f>基础数据!D48</f>
        <v>1200000</v>
      </c>
      <c r="C17" s="57">
        <f>直接材料预算表!C28</f>
        <v>2941000</v>
      </c>
      <c r="D17" s="57">
        <f>直接材料预算表!D28</f>
        <v>3440040</v>
      </c>
      <c r="E17" s="57">
        <f>直接材料预算表!E28</f>
        <v>3815600</v>
      </c>
      <c r="F17" s="57">
        <f>直接材料预算表!F28</f>
        <v>4187600</v>
      </c>
    </row>
    <row r="18" spans="1:6">
      <c r="A18" s="1" t="s">
        <v>59</v>
      </c>
      <c r="B18" s="57">
        <f>基础数据!D49</f>
        <v>720000</v>
      </c>
      <c r="C18" s="57">
        <f>利润预算表!B9</f>
        <v>722311.74698795145</v>
      </c>
      <c r="D18" s="57">
        <f>利润预算表!C9</f>
        <v>810296.62257726584</v>
      </c>
      <c r="E18" s="57">
        <f>利润预算表!D9</f>
        <v>940020.45396419428</v>
      </c>
      <c r="F18" s="57">
        <f>利润预算表!E9</f>
        <v>1066261.8907563025</v>
      </c>
    </row>
    <row r="19" spans="1:6">
      <c r="A19" s="1" t="s">
        <v>61</v>
      </c>
      <c r="B19" s="57">
        <f>基础数据!D50</f>
        <v>3920000</v>
      </c>
      <c r="C19" s="57">
        <f>SUM(C16:C18)</f>
        <v>9337311.7469879519</v>
      </c>
      <c r="D19" s="57">
        <f t="shared" ref="D19:F19" si="4">SUM(D16:D18)</f>
        <v>8924336.6225772649</v>
      </c>
      <c r="E19" s="57">
        <f t="shared" si="4"/>
        <v>9429620.4539641943</v>
      </c>
      <c r="F19" s="57">
        <f t="shared" si="4"/>
        <v>5253861.8907563025</v>
      </c>
    </row>
    <row r="20" spans="1:6">
      <c r="A20" s="1" t="s">
        <v>63</v>
      </c>
      <c r="B20" s="57">
        <f>基础数据!D51</f>
        <v>3920000</v>
      </c>
      <c r="C20" s="57">
        <f>C19</f>
        <v>9337311.7469879519</v>
      </c>
      <c r="D20" s="57">
        <f t="shared" ref="D20:F20" si="5">D19</f>
        <v>8924336.6225772649</v>
      </c>
      <c r="E20" s="57">
        <f t="shared" si="5"/>
        <v>9429620.4539641943</v>
      </c>
      <c r="F20" s="57">
        <f t="shared" si="5"/>
        <v>5253861.8907563025</v>
      </c>
    </row>
    <row r="21" spans="1:6">
      <c r="A21" s="1" t="s">
        <v>65</v>
      </c>
      <c r="B21" s="57">
        <f>基础数据!D52</f>
        <v>60000000</v>
      </c>
      <c r="C21" s="57">
        <f>$B$21</f>
        <v>60000000</v>
      </c>
      <c r="D21" s="57">
        <f t="shared" ref="D21:F21" si="6">$B$21</f>
        <v>60000000</v>
      </c>
      <c r="E21" s="57">
        <f t="shared" si="6"/>
        <v>60000000</v>
      </c>
      <c r="F21" s="57">
        <f t="shared" si="6"/>
        <v>60000000</v>
      </c>
    </row>
    <row r="22" spans="1:6">
      <c r="A22" s="1" t="s">
        <v>67</v>
      </c>
      <c r="B22" s="57">
        <f>基础数据!D53</f>
        <v>7900000</v>
      </c>
      <c r="C22" s="57">
        <f>B22+利润预算表!B10</f>
        <v>10066935.240963854</v>
      </c>
      <c r="D22" s="57">
        <f>C22+利润预算表!C10</f>
        <v>12497825.108695652</v>
      </c>
      <c r="E22" s="57">
        <f>D22+利润预算表!D10</f>
        <v>15317886.470588235</v>
      </c>
      <c r="F22" s="57">
        <f>E22+利润预算表!E10</f>
        <v>18516672.142857142</v>
      </c>
    </row>
    <row r="23" spans="1:6">
      <c r="A23" s="1" t="s">
        <v>69</v>
      </c>
      <c r="B23" s="57">
        <f>基础数据!D54</f>
        <v>67900000</v>
      </c>
      <c r="C23" s="57">
        <f>C21+C22</f>
        <v>70066935.240963846</v>
      </c>
      <c r="D23" s="57">
        <f t="shared" ref="D23:F23" si="7">D21+D22</f>
        <v>72497825.108695656</v>
      </c>
      <c r="E23" s="57">
        <f t="shared" si="7"/>
        <v>75317886.470588237</v>
      </c>
      <c r="F23" s="57">
        <f t="shared" si="7"/>
        <v>78516672.142857134</v>
      </c>
    </row>
    <row r="24" spans="1:6" ht="24">
      <c r="A24" s="1" t="s">
        <v>71</v>
      </c>
      <c r="B24" s="57">
        <f>基础数据!D55</f>
        <v>71820000</v>
      </c>
      <c r="C24" s="57">
        <f>C20+C23</f>
        <v>79404246.9879518</v>
      </c>
      <c r="D24" s="57">
        <f t="shared" ref="D24:F24" si="8">D20+D23</f>
        <v>81422161.731272921</v>
      </c>
      <c r="E24" s="57">
        <f t="shared" si="8"/>
        <v>84747506.924552426</v>
      </c>
      <c r="F24" s="57">
        <f t="shared" si="8"/>
        <v>83770534.033613443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基础数据</vt:lpstr>
      <vt:lpstr>销售预算</vt:lpstr>
      <vt:lpstr>生产预算</vt:lpstr>
      <vt:lpstr>直接材料预算表</vt:lpstr>
      <vt:lpstr>直接人工预算表</vt:lpstr>
      <vt:lpstr>制造费用预算表</vt:lpstr>
      <vt:lpstr>生产成本预算表</vt:lpstr>
      <vt:lpstr>销售成本预算表</vt:lpstr>
      <vt:lpstr>管理费用预算</vt:lpstr>
      <vt:lpstr>销售费用预算</vt:lpstr>
      <vt:lpstr>资本支出预算表</vt:lpstr>
      <vt:lpstr>利润草算表</vt:lpstr>
      <vt:lpstr>现金收支草算表</vt:lpstr>
      <vt:lpstr>利润预算表</vt:lpstr>
      <vt:lpstr>现金收支预算表</vt:lpstr>
      <vt:lpstr>资产负债预算表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</cp:lastModifiedBy>
  <dcterms:created xsi:type="dcterms:W3CDTF">2020-11-17T05:27:31Z</dcterms:created>
  <dcterms:modified xsi:type="dcterms:W3CDTF">2023-02-26T15:56:28Z</dcterms:modified>
</cp:coreProperties>
</file>